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125" tabRatio="661" activeTab="0"/>
  </bookViews>
  <sheets>
    <sheet name="Indicadores" sheetId="1" r:id="rId1"/>
    <sheet name="Cuadros 1.2 - 1.3" sheetId="2" r:id="rId2"/>
    <sheet name="Cuado 1.4 - INVERSIONES" sheetId="3" r:id="rId3"/>
    <sheet name="Cuadro 2.1 PInstalada" sheetId="4" r:id="rId4"/>
    <sheet name="Cuadro 2.2 - 2.3" sheetId="5" r:id="rId5"/>
    <sheet name="Cuadro 3.1 PEFectiva" sheetId="6" r:id="rId6"/>
    <sheet name="Cuadro 3.2 - 3.3" sheetId="7" r:id="rId7"/>
    <sheet name="Cuadro 4 M. DEMANDA" sheetId="8" r:id="rId8"/>
    <sheet name="Cuadro 5.1 Producción" sheetId="9" r:id="rId9"/>
    <sheet name="Cuadro 5.2 - 5.3" sheetId="10" r:id="rId10"/>
    <sheet name="Cuadro 6.1  LLTT" sheetId="11" r:id="rId11"/>
    <sheet name="Cuadro 6.2 Pérdidas LL TT" sheetId="12" r:id="rId12"/>
    <sheet name="Cuadro 7.1  Clientes" sheetId="13" r:id="rId13"/>
    <sheet name="Cuadro 7.2 - 7.3" sheetId="14" r:id="rId14"/>
    <sheet name="Cuadro 8.1 Ventas" sheetId="15" r:id="rId15"/>
    <sheet name="Cuadro 8.2 - 8.3 - 8.4" sheetId="16" r:id="rId16"/>
    <sheet name="Cuadro 9,1 Facturación" sheetId="17" r:id="rId17"/>
    <sheet name="Cuadro 9.2 - 9.3" sheetId="18" r:id="rId18"/>
    <sheet name="Cuadro 10,1 P. Medio" sheetId="19" r:id="rId19"/>
    <sheet name="Cuadro 10.2 - 109.3" sheetId="20" r:id="rId20"/>
    <sheet name="Cuadro 11 Perdidas Dist." sheetId="21" r:id="rId21"/>
    <sheet name="Cuadro 12 Consumo" sheetId="22" r:id="rId22"/>
    <sheet name="Cuadro 13 Vta. Sect. Consumo" sheetId="23" r:id="rId23"/>
    <sheet name="Cuadro 14 Fac. Set. Consumo" sheetId="24" r:id="rId24"/>
    <sheet name="Cuadro 15 PMedio Sect. Consumo" sheetId="25" r:id="rId25"/>
  </sheets>
  <externalReferences>
    <externalReference r:id="rId28"/>
  </externalReferences>
  <definedNames>
    <definedName name="_xlnm.Print_Area" localSheetId="2">'Cuado 1.4 - INVERSIONES'!$A$7:$P$118</definedName>
    <definedName name="_xlnm.Print_Area" localSheetId="18">'Cuadro 10,1 P. Medio'!$A$6:$K$84</definedName>
    <definedName name="_xlnm.Print_Area" localSheetId="19">'Cuadro 10.2 - 109.3'!$A$5:$L$66</definedName>
    <definedName name="_xlnm.Print_Area" localSheetId="20">'Cuadro 11 Perdidas Dist.'!$A$1:$H$55</definedName>
    <definedName name="_xlnm.Print_Area" localSheetId="21">'Cuadro 12 Consumo'!$A$2:$H$82</definedName>
    <definedName name="_xlnm.Print_Area" localSheetId="22">'Cuadro 13 Vta. Sect. Consumo'!$A$1:$I$59</definedName>
    <definedName name="_xlnm.Print_Area" localSheetId="23">'Cuadro 14 Fac. Set. Consumo'!$A$1:$I$59</definedName>
    <definedName name="_xlnm.Print_Area" localSheetId="24">'Cuadro 15 PMedio Sect. Consumo'!$A$1:$H$61</definedName>
    <definedName name="_xlnm.Print_Area" localSheetId="3">'Cuadro 2.1 PInstalada'!$A$2:$M$90</definedName>
    <definedName name="_xlnm.Print_Area" localSheetId="4">'Cuadro 2.2 - 2.3'!$B$1:$M$73</definedName>
    <definedName name="_xlnm.Print_Area" localSheetId="5">'Cuadro 3.1 PEFectiva'!$A$2:$M$87</definedName>
    <definedName name="_xlnm.Print_Area" localSheetId="6">'Cuadro 3.2 - 3.3'!$B$2:$M$73</definedName>
    <definedName name="_xlnm.Print_Area" localSheetId="7">'Cuadro 4 M. DEMANDA'!$A$1:$I$35</definedName>
    <definedName name="_xlnm.Print_Area" localSheetId="8">'Cuadro 5.1 Producción'!$A$1:$M$89</definedName>
    <definedName name="_xlnm.Print_Area" localSheetId="9">'Cuadro 5.2 - 5.3'!$A$1:$M$78</definedName>
    <definedName name="_xlnm.Print_Area" localSheetId="10">'Cuadro 6.1  LLTT'!$A$7:$K$79</definedName>
    <definedName name="_xlnm.Print_Area" localSheetId="11">'Cuadro 6.2 Pérdidas LL TT'!$A$1:$I$56</definedName>
    <definedName name="_xlnm.Print_Area" localSheetId="12">'Cuadro 7.1  Clientes'!$A$6:$L$77</definedName>
    <definedName name="_xlnm.Print_Area" localSheetId="13">'Cuadro 7.2 - 7.3'!$A$4:$L$66</definedName>
    <definedName name="_xlnm.Print_Area" localSheetId="14">'Cuadro 8.1 Ventas'!$A$6:$K$85</definedName>
    <definedName name="_xlnm.Print_Area" localSheetId="15">'Cuadro 8.2 - 8.3 - 8.4'!$A$1:$L$100</definedName>
    <definedName name="_xlnm.Print_Area" localSheetId="16">'Cuadro 9,1 Facturación'!$A$6:$K$83</definedName>
    <definedName name="_xlnm.Print_Area" localSheetId="17">'Cuadro 9.2 - 9.3'!$A$30:$L$91</definedName>
    <definedName name="_xlnm.Print_Area" localSheetId="1">'Cuadros 1.2 - 1.3'!$A$4:$H$102</definedName>
    <definedName name="_xlnm.Print_Area" localSheetId="0">'Indicadores'!$A$1:$Z$84</definedName>
    <definedName name="AYACUCHO" localSheetId="2">'[1]X_DEPA'!#REF!</definedName>
    <definedName name="AYACUCHO" localSheetId="3">'[1]X_DEPA'!#REF!</definedName>
    <definedName name="AYACUCHO" localSheetId="4">'[1]X_DEPA'!#REF!</definedName>
    <definedName name="AYACUCHO" localSheetId="5">'[1]X_DEPA'!#REF!</definedName>
    <definedName name="AYACUCHO" localSheetId="6">'[1]X_DEPA'!#REF!</definedName>
    <definedName name="AYACUCHO" localSheetId="7">'[1]X_DEPA'!#REF!</definedName>
    <definedName name="AYACUCHO" localSheetId="8">'[1]X_DEPA'!#REF!</definedName>
    <definedName name="AYACUCHO" localSheetId="9">'[1]X_DEPA'!#REF!</definedName>
    <definedName name="AYACUCHO" localSheetId="10">'[1]X_DEPA'!#REF!</definedName>
    <definedName name="AYACUCHO" localSheetId="11">'[1]X_DEPA'!#REF!</definedName>
    <definedName name="AYACUCHO" localSheetId="13">'[1]X_DEPA'!#REF!</definedName>
    <definedName name="AYACUCHO" localSheetId="1">'[1]X_DEPA'!#REF!</definedName>
    <definedName name="AYACUCHO" localSheetId="0">'[1]X_DEPA'!#REF!</definedName>
    <definedName name="AYACUCHO">'[1]X_DEPA'!#REF!</definedName>
    <definedName name="LIMA_I" localSheetId="2">'[1]X_DEPA'!#REF!</definedName>
    <definedName name="LIMA_I" localSheetId="3">'[1]X_DEPA'!#REF!</definedName>
    <definedName name="LIMA_I" localSheetId="4">'[1]X_DEPA'!#REF!</definedName>
    <definedName name="LIMA_I" localSheetId="5">'[1]X_DEPA'!#REF!</definedName>
    <definedName name="LIMA_I" localSheetId="6">'[1]X_DEPA'!#REF!</definedName>
    <definedName name="LIMA_I" localSheetId="7">'[1]X_DEPA'!#REF!</definedName>
    <definedName name="LIMA_I" localSheetId="8">'[1]X_DEPA'!#REF!</definedName>
    <definedName name="LIMA_I" localSheetId="9">'[1]X_DEPA'!#REF!</definedName>
    <definedName name="LIMA_I" localSheetId="10">'[1]X_DEPA'!#REF!</definedName>
    <definedName name="LIMA_I" localSheetId="11">'[1]X_DEPA'!#REF!</definedName>
    <definedName name="LIMA_I" localSheetId="13">'[1]X_DEPA'!#REF!</definedName>
    <definedName name="LIMA_I" localSheetId="1">'[1]X_DEPA'!#REF!</definedName>
    <definedName name="LIMA_I" localSheetId="0">'[1]X_DEPA'!#REF!</definedName>
    <definedName name="LIMA_I">'[1]X_DEPA'!#REF!</definedName>
    <definedName name="LIMA_II" localSheetId="2">'[1]X_DEPA'!#REF!</definedName>
    <definedName name="LIMA_II" localSheetId="3">'[1]X_DEPA'!#REF!</definedName>
    <definedName name="LIMA_II" localSheetId="4">'[1]X_DEPA'!#REF!</definedName>
    <definedName name="LIMA_II" localSheetId="5">'[1]X_DEPA'!#REF!</definedName>
    <definedName name="LIMA_II" localSheetId="6">'[1]X_DEPA'!#REF!</definedName>
    <definedName name="LIMA_II" localSheetId="7">'[1]X_DEPA'!#REF!</definedName>
    <definedName name="LIMA_II" localSheetId="8">'[1]X_DEPA'!#REF!</definedName>
    <definedName name="LIMA_II" localSheetId="9">'[1]X_DEPA'!#REF!</definedName>
    <definedName name="LIMA_II" localSheetId="10">'[1]X_DEPA'!#REF!</definedName>
    <definedName name="LIMA_II" localSheetId="11">'[1]X_DEPA'!#REF!</definedName>
    <definedName name="LIMA_II" localSheetId="13">'[1]X_DEPA'!#REF!</definedName>
    <definedName name="LIMA_II" localSheetId="1">'[1]X_DEPA'!#REF!</definedName>
    <definedName name="LIMA_II" localSheetId="0">'[1]X_DEPA'!#REF!</definedName>
    <definedName name="LIMA_II">'[1]X_DEPA'!#REF!</definedName>
    <definedName name="PIURA_I" localSheetId="2">'[1]X_DEPA'!#REF!</definedName>
    <definedName name="PIURA_I" localSheetId="3">'[1]X_DEPA'!#REF!</definedName>
    <definedName name="PIURA_I" localSheetId="4">'[1]X_DEPA'!#REF!</definedName>
    <definedName name="PIURA_I" localSheetId="5">'[1]X_DEPA'!#REF!</definedName>
    <definedName name="PIURA_I" localSheetId="6">'[1]X_DEPA'!#REF!</definedName>
    <definedName name="PIURA_I" localSheetId="7">'[1]X_DEPA'!#REF!</definedName>
    <definedName name="PIURA_I" localSheetId="8">'[1]X_DEPA'!#REF!</definedName>
    <definedName name="PIURA_I" localSheetId="9">'[1]X_DEPA'!#REF!</definedName>
    <definedName name="PIURA_I" localSheetId="10">'[1]X_DEPA'!#REF!</definedName>
    <definedName name="PIURA_I" localSheetId="11">'[1]X_DEPA'!#REF!</definedName>
    <definedName name="PIURA_I" localSheetId="13">'[1]X_DEPA'!#REF!</definedName>
    <definedName name="PIURA_I" localSheetId="1">'[1]X_DEPA'!#REF!</definedName>
    <definedName name="PIURA_I" localSheetId="0">'[1]X_DEPA'!#REF!</definedName>
    <definedName name="PIURA_I">'[1]X_DEPA'!#REF!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AD44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Cambiar en el cuadro de la izquierda el valor del porcentaje de 15% a 14 %, para lograr la suma del 100%</t>
        </r>
      </text>
    </comment>
    <comment ref="AH44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Cambiar en el cuadro de la izquierda el valor del porcentaje de 15% a 14 %, para lograr la suma del 100%</t>
        </r>
      </text>
    </comment>
    <comment ref="AF62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Cambiar en el cuadro de la izquierda el valor del  porcentaje  de 81% a 80%, para que en la sumatoria se logre el 100%,.</t>
        </r>
      </text>
    </comment>
  </commentList>
</comments>
</file>

<file path=xl/comments16.xml><?xml version="1.0" encoding="utf-8"?>
<comments xmlns="http://schemas.openxmlformats.org/spreadsheetml/2006/main">
  <authors>
    <author>LVILCHEZ</author>
  </authors>
  <commentList>
    <comment ref="J8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Ajustado para las demas hojas</t>
        </r>
      </text>
    </comment>
    <comment ref="J11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Ajustado para las demas hojas</t>
        </r>
      </text>
    </comment>
    <comment ref="J12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Ajustado para las demas hojas</t>
        </r>
      </text>
    </comment>
    <comment ref="J16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Ajustado para las demas hojas</t>
        </r>
      </text>
    </comment>
  </commentList>
</comments>
</file>

<file path=xl/comments5.xml><?xml version="1.0" encoding="utf-8"?>
<comments xmlns="http://schemas.openxmlformats.org/spreadsheetml/2006/main">
  <authors>
    <author>lvilchez</author>
  </authors>
  <commentList>
    <comment ref="K49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Adición ajustada según el capitulo de EVOLUCIONES de los anuarios desde el año 2000.</t>
        </r>
      </text>
    </comment>
    <comment ref="L49" authorId="0">
      <text>
        <r>
          <rPr>
            <b/>
            <sz val="8"/>
            <rFont val="Tahoma"/>
            <family val="2"/>
          </rPr>
          <t>lvilchez:</t>
        </r>
        <r>
          <rPr>
            <sz val="8"/>
            <rFont val="Tahoma"/>
            <family val="2"/>
          </rPr>
          <t xml:space="preserve">
Adición ajustada según el capitulo de EVOLUCIONES de los anuarios desde el año 2000.</t>
        </r>
      </text>
    </comment>
  </commentList>
</comments>
</file>

<file path=xl/sharedStrings.xml><?xml version="1.0" encoding="utf-8"?>
<sst xmlns="http://schemas.openxmlformats.org/spreadsheetml/2006/main" count="663" uniqueCount="183">
  <si>
    <t xml:space="preserve">  Por tipo de generación</t>
  </si>
  <si>
    <t xml:space="preserve">  Hidráulica (%)</t>
  </si>
  <si>
    <t xml:space="preserve">  Térmica (%)</t>
  </si>
  <si>
    <t xml:space="preserve">  Por Sistemas</t>
  </si>
  <si>
    <t xml:space="preserve">  SICN (%)</t>
  </si>
  <si>
    <t xml:space="preserve">  SIS (%)</t>
  </si>
  <si>
    <t xml:space="preserve">  Aislados (%)</t>
  </si>
  <si>
    <t xml:space="preserve">  PRODUCCIÓN DE ENERGÍA ELÉCTRICA (GW.h)</t>
  </si>
  <si>
    <t xml:space="preserve">  VENTAS DE ENERGÍA ELÉCTRICA (GW.h)</t>
  </si>
  <si>
    <t xml:space="preserve">  Regulados (%)</t>
  </si>
  <si>
    <t xml:space="preserve">  Libres (%)</t>
  </si>
  <si>
    <t xml:space="preserve">  NÚMERO DE CLIENTES</t>
  </si>
  <si>
    <t>GW.h</t>
  </si>
  <si>
    <t>C. Reg.</t>
  </si>
  <si>
    <t>C. Lib.</t>
  </si>
  <si>
    <t>Prod. Priv.</t>
  </si>
  <si>
    <t>Habit.2000</t>
  </si>
  <si>
    <t xml:space="preserve">  Consumo de energía eléctrica per cápita (kW.h/hab.)</t>
  </si>
  <si>
    <t>Producc.Gw.h</t>
  </si>
  <si>
    <t xml:space="preserve">  Mercado Eléctrico (%)</t>
  </si>
  <si>
    <t xml:space="preserve">  Uso Propio (%)</t>
  </si>
  <si>
    <t xml:space="preserve">  Por Servicio</t>
  </si>
  <si>
    <t xml:space="preserve">  Por tipo de empresa</t>
  </si>
  <si>
    <t xml:space="preserve">  Generadoras (%)</t>
  </si>
  <si>
    <t xml:space="preserve">  Distribuidoras (%)</t>
  </si>
  <si>
    <t xml:space="preserve">  Por mercado</t>
  </si>
  <si>
    <r>
      <t xml:space="preserve">  SEIN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(%)</t>
    </r>
  </si>
  <si>
    <t>INDICADORES</t>
  </si>
  <si>
    <t xml:space="preserve">  POTENCIA INSTALADA (MW)</t>
  </si>
  <si>
    <t xml:space="preserve">  POTENCIA EFECTIVA (MW)</t>
  </si>
  <si>
    <t xml:space="preserve">  MÁXIMA DEMANDA DEL SEIN (MW)</t>
  </si>
  <si>
    <t xml:space="preserve">  PÉRDIDAS EN DISTRIBUCIÓN (%)</t>
  </si>
  <si>
    <t xml:space="preserve">  INVERSIONES EJECUTADAS (millones US $)</t>
  </si>
  <si>
    <t>.</t>
  </si>
  <si>
    <t xml:space="preserve">Cambiar valor en cuadro de la izquierda para logar el redondeo al 100% </t>
  </si>
  <si>
    <t xml:space="preserve">  Producción de energía eléctrica per cápita (kW.h/hab.)</t>
  </si>
  <si>
    <t xml:space="preserve">  INDICADORES  ENERGÉTICOS </t>
  </si>
  <si>
    <r>
      <t xml:space="preserve">  Población </t>
    </r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 (habitantes)</t>
    </r>
  </si>
  <si>
    <r>
      <t>1.-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A partir del año 2001 se considera como Sistema Interconectado Eléctrico Nacional -SEIN, por la interconexión del Sistema Sur (SIS) y Norte (SICN) ocurrida en Octubre del 2000</t>
    </r>
  </si>
  <si>
    <t>Var. Media</t>
  </si>
  <si>
    <t>D %</t>
  </si>
  <si>
    <t>1.1 INDICADORES TECNICOS - ECONÓMICOS - ENERGÉTICOS</t>
  </si>
  <si>
    <t>1 INDICADORES</t>
  </si>
  <si>
    <r>
      <t>Nota</t>
    </r>
    <r>
      <rPr>
        <sz val="9"/>
        <rFont val="Arial"/>
        <family val="2"/>
      </rPr>
      <t>:</t>
    </r>
  </si>
  <si>
    <t>1/ Fuente : Documento del INEI "Estimaciones y Proyecciones"1995 - 2025</t>
  </si>
  <si>
    <t>1.2  CONSUMO DE ENERGÍA ELÉCTRICA PERCÁPITA (kW.h / Habitante)</t>
  </si>
  <si>
    <t>Consumo</t>
  </si>
  <si>
    <t>Año</t>
  </si>
  <si>
    <t xml:space="preserve"> kW.h / Habitante</t>
  </si>
  <si>
    <t>1.3   PRODUCCIÓN DE ENERGÍA ELÉCTRICA PERCÁPITA (kW.h / Habitante)</t>
  </si>
  <si>
    <t xml:space="preserve">  1.4   INVERSIONES EJECUTADAS POR ACTIVIDAD Y EMPRESAS ESTATALES Y PRIVADAS (millones US $)</t>
  </si>
  <si>
    <t>Total Empresas</t>
  </si>
  <si>
    <t>Empresas Estatales</t>
  </si>
  <si>
    <t>Empresas Privadas</t>
  </si>
  <si>
    <t xml:space="preserve">Inversión </t>
  </si>
  <si>
    <t>Total</t>
  </si>
  <si>
    <t>Generación</t>
  </si>
  <si>
    <t>Transmisión</t>
  </si>
  <si>
    <t>Distribución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</si>
  <si>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</si>
  <si>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2.  POTENCIA INSTALADA NACIONAL (MW)</t>
  </si>
  <si>
    <t xml:space="preserve">2.1  NACIONAL - Por tipo de origen y servicio </t>
  </si>
  <si>
    <t>Mercado eléctrico</t>
  </si>
  <si>
    <t>Uso propio</t>
  </si>
  <si>
    <t>TOTAL</t>
  </si>
  <si>
    <t>Hidráulica</t>
  </si>
  <si>
    <t>Térmica</t>
  </si>
  <si>
    <t>Eólica</t>
  </si>
  <si>
    <t>Sub - Total</t>
  </si>
  <si>
    <t>Hidráulico</t>
  </si>
  <si>
    <t>Térmico</t>
  </si>
  <si>
    <t>Eólico</t>
  </si>
  <si>
    <t>S E I N</t>
  </si>
  <si>
    <t>A i s l a d o s</t>
  </si>
  <si>
    <t>Sistema interconectado centro norte (SICN)</t>
  </si>
  <si>
    <t xml:space="preserve">     Sistema interconectado sur (SIS)</t>
  </si>
  <si>
    <t>2.2   MERCADO ELÉCTRICO  - Por tipo de sistema y origen</t>
  </si>
  <si>
    <t>2.3   USO PROPIO  - Por tipo de sistema y origen</t>
  </si>
  <si>
    <t>3. POTENCIA EFECTIVA (MW)</t>
  </si>
  <si>
    <t xml:space="preserve">3.1.   NACIONAL - Por tipo de origen y servicio </t>
  </si>
  <si>
    <t>Aislados</t>
  </si>
  <si>
    <t>Sistema interconectado sur (SIS)</t>
  </si>
  <si>
    <t>3.2.   MERCADO ELÉCTRICO  - Por tipo de sistema y origen</t>
  </si>
  <si>
    <t>3.3   USO PROPIO  - Por tipo de sistema y origen</t>
  </si>
  <si>
    <t>4. EVOLUCIÓN DE LA MÁXIMA DEMANDA DEL SISTEMA ELÉCTRICO INTERCONECTADO NACIONAL (MW)</t>
  </si>
  <si>
    <t xml:space="preserve">Máxima Demanda </t>
  </si>
  <si>
    <t>(MW)</t>
  </si>
  <si>
    <t>Fuente : COES</t>
  </si>
  <si>
    <t>5.  PRODUCCIÓN DE ENERGÍA ELÉCTRICA (GW.h)</t>
  </si>
  <si>
    <t>5.1. NACIONAL - Por tipo de origen y servicio</t>
  </si>
  <si>
    <t>-----</t>
  </si>
  <si>
    <t>---</t>
  </si>
  <si>
    <t>S  E  I  N</t>
  </si>
  <si>
    <t>5.2   MERCADO ELÉCTRICO - Por tipo de sistema y origen</t>
  </si>
  <si>
    <t>5.3   USO PROPIO - Por tipo de sistema y origen</t>
  </si>
  <si>
    <t>6.  EVOLUCIÓN DE LA LONGITUD TOTAL DE LÍNEAS DE TRANSMISIÓN A NIVEL NACIONAL (km)</t>
  </si>
  <si>
    <t>6.1.  Por Tensión a nivel nacional</t>
  </si>
  <si>
    <t>Longitud de Líneas de Transmisión</t>
  </si>
  <si>
    <t>Nivel de Tensión ( kV )</t>
  </si>
  <si>
    <t>60 - 69</t>
  </si>
  <si>
    <t>30 - 50</t>
  </si>
  <si>
    <t>Pérdidas en SPT (%)</t>
  </si>
  <si>
    <t>Fuente : COES (incluyen lineas de transmisión del Sistema Sur que dejaron de formar parte del SPT desde Oct. 2000)</t>
  </si>
  <si>
    <t>220 kV : SE Piura Oeste - SE Marcona</t>
  </si>
  <si>
    <t>6.2  PÉRDIDAS EN EL SISTEMA PRINCIPAL DE TRANSMISIÓN (%)</t>
  </si>
  <si>
    <t>7.   NÚMERO DE CLIENTES FINALES</t>
  </si>
  <si>
    <t>7.1.  NACIONAL</t>
  </si>
  <si>
    <t>Clientes Finales por Mercado</t>
  </si>
  <si>
    <t>Distribuidoras</t>
  </si>
  <si>
    <t>Generadoras</t>
  </si>
  <si>
    <t>Regulado</t>
  </si>
  <si>
    <t>Libre</t>
  </si>
  <si>
    <t xml:space="preserve">Total </t>
  </si>
  <si>
    <t>Mercado Libre</t>
  </si>
  <si>
    <t>MAT</t>
  </si>
  <si>
    <t>AT</t>
  </si>
  <si>
    <t>MT</t>
  </si>
  <si>
    <t>BT</t>
  </si>
  <si>
    <t>Mercado Regulado</t>
  </si>
  <si>
    <t>7.2  EMPRESAS DISTRIBUIDORAS  - Por tipo de mercado y nivel de tensión</t>
  </si>
  <si>
    <t>7.3  EMPRESAS GENERADORAS - Por tipo de mercado y nivel de tensión</t>
  </si>
  <si>
    <t>8.1 NACIONAL - Por tipo de mercado y empresa</t>
  </si>
  <si>
    <t>Tipo de Mercado</t>
  </si>
  <si>
    <t>8.2  NACIONAL - Por tipo de sistema y empresa</t>
  </si>
  <si>
    <t>8.3 EMPRESAS  DISTRIBUIDORAS  - Por tipo de mercado y nivel de tensión</t>
  </si>
  <si>
    <t>8.4  EMPRESAS GENERADORAS  - Por tipo de mercado y nivel de tensión</t>
  </si>
  <si>
    <t>9.  EVOLUCIÓN DE LA FACTURACIÓN POR VENTA DE ENERGÍA ELÉCTRICA  (miles US $)</t>
  </si>
  <si>
    <t>9.1. NACIONAL - Por tipo de mercado y empresa</t>
  </si>
  <si>
    <t>Suma de 02</t>
  </si>
  <si>
    <t>Suma de 03</t>
  </si>
  <si>
    <t>Suma de 04</t>
  </si>
  <si>
    <t>Suma de 05</t>
  </si>
  <si>
    <t>Suma de 06</t>
  </si>
  <si>
    <t>Suma de 07</t>
  </si>
  <si>
    <t>Suma de 08</t>
  </si>
  <si>
    <t>Suma de 09</t>
  </si>
  <si>
    <t>Suma de Total general</t>
  </si>
  <si>
    <t>9.2  EMPRESAS  DISTRIBUIDORAS  - Por tipo de mercado y nivel de tensión</t>
  </si>
  <si>
    <t>9.3  EMPRESAS GENERADORAS  - Por tipo de mercado y nivel de tensión</t>
  </si>
  <si>
    <t>10.1 NACIONAL - Por tipo de mercado y empresa</t>
  </si>
  <si>
    <t/>
  </si>
  <si>
    <t>10.2  EMPRESAS  DISTRIBUIDORAS  - Por tipo de mercado y nivel de tensión</t>
  </si>
  <si>
    <t>10.3  EMPRESAS GENERADORAS  - Por tipo de mercado y nivel de tensión</t>
  </si>
  <si>
    <t>11.  PÉRDIDAS EN DISTRIBUCIÓN (%)</t>
  </si>
  <si>
    <t>Pérdidas en Distribución (%)</t>
  </si>
  <si>
    <t>12.   CONSUMO DE ENERGÍA ELÉCTRICA (GW.h)</t>
  </si>
  <si>
    <t>Ventas a Cliente Final</t>
  </si>
  <si>
    <t>de uso propio</t>
  </si>
  <si>
    <t>13.  VENTAS DE ENERGÍA ELÉCTRICA POR SECTOR ECONÓMICO Y CONSUMO TOTAL (GW.h)</t>
  </si>
  <si>
    <t>Venta a Cliente Final</t>
  </si>
  <si>
    <t xml:space="preserve">Generación </t>
  </si>
  <si>
    <t>Consumo Total</t>
  </si>
  <si>
    <t>Industrial</t>
  </si>
  <si>
    <t>Comercial</t>
  </si>
  <si>
    <t>Residencial</t>
  </si>
  <si>
    <t>Alumbrado Público</t>
  </si>
  <si>
    <t>por Uso</t>
  </si>
  <si>
    <t>Propio</t>
  </si>
  <si>
    <t>14.  FACTURACIÓN DE ENERGÍA ELÉCTRICA POR SECTOR ECONÓMICO (Miles US $)</t>
  </si>
  <si>
    <t>Facturación a Cliente Final</t>
  </si>
  <si>
    <t>15. PRECIO MEDIO DE ENERGÍA ELÉCTRICA POR SECTOR ECONÓMICO (Cent. US$/kW.h)</t>
  </si>
  <si>
    <t>Precio Medio por Sector Económico</t>
  </si>
  <si>
    <t>Precio Medio **</t>
  </si>
  <si>
    <t>(**) Corresponde al cociente de la facturación y venta total de energía eléctrica</t>
  </si>
  <si>
    <t>11 / 10</t>
  </si>
  <si>
    <t>11 / 00</t>
  </si>
  <si>
    <t>2011/2000</t>
  </si>
  <si>
    <t>Incremento 11/10</t>
  </si>
  <si>
    <t>Variación media 11/05</t>
  </si>
  <si>
    <t>Incremento 11/00</t>
  </si>
  <si>
    <t>Variación media 11/00</t>
  </si>
  <si>
    <t>Variación media 11/06</t>
  </si>
  <si>
    <t>2011/2006</t>
  </si>
  <si>
    <t>La Información del año 2011 es preliminar</t>
  </si>
  <si>
    <t>Incremento 11/01</t>
  </si>
  <si>
    <r>
      <t>Electrificación Rural</t>
    </r>
    <r>
      <rPr>
        <b/>
        <vertAlign val="superscript"/>
        <sz val="10"/>
        <rFont val="Arial"/>
        <family val="2"/>
      </rPr>
      <t>1</t>
    </r>
  </si>
  <si>
    <t>10.  EVOLUCIÓN DEL PRECIO MEDIO DE ENERGÍA ELÉCTRICA  (Cent.US $ / kWh)</t>
  </si>
  <si>
    <t>8.  VENTA DE ENERGÍA ELÉCTRICA  (GWh)</t>
  </si>
  <si>
    <t>Información del año 2011 preliminar</t>
  </si>
  <si>
    <t>2 011</t>
  </si>
  <si>
    <t xml:space="preserve">  2 001 </t>
  </si>
  <si>
    <t xml:space="preserve">  2 011 </t>
  </si>
  <si>
    <t>Se interconecta los sistemas SICN y SIS para conformar el Sistema Eléctrico Interconectado Nacional - SEIN en el año 2001</t>
  </si>
</sst>
</file>

<file path=xl/styles.xml><?xml version="1.0" encoding="utf-8"?>
<styleSheet xmlns="http://schemas.openxmlformats.org/spreadsheetml/2006/main">
  <numFmts count="5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000"/>
    <numFmt numFmtId="183" formatCode="#,##0.000"/>
    <numFmt numFmtId="184" formatCode="0.000"/>
    <numFmt numFmtId="185" formatCode="0.0"/>
    <numFmt numFmtId="186" formatCode="0.0000000"/>
    <numFmt numFmtId="187" formatCode="0.00000"/>
    <numFmt numFmtId="188" formatCode="#,##0.0"/>
    <numFmt numFmtId="189" formatCode="0.0%"/>
    <numFmt numFmtId="190" formatCode="#,##0.0000"/>
    <numFmt numFmtId="191" formatCode="#,##0.00000"/>
    <numFmt numFmtId="192" formatCode="0.000%"/>
    <numFmt numFmtId="193" formatCode="#\ ##0.00"/>
    <numFmt numFmtId="194" formatCode="_-* #,##0_-;\-* #,##0_-;_-* &quot;-&quot;??_-;_-@_-"/>
    <numFmt numFmtId="195" formatCode="_-[$€]* #,##0.00_-;\-[$€]* #,##0.00_-;_-[$€]* &quot;-&quot;??_-;_-@_-"/>
    <numFmt numFmtId="196" formatCode="0.0000%"/>
    <numFmt numFmtId="197" formatCode="#\ ##0"/>
    <numFmt numFmtId="198" formatCode="_-* #,##0.0_-;\-* #,##0.0_-;_-* &quot;-&quot;??_-;_-@_-"/>
    <numFmt numFmtId="199" formatCode="&quot;$&quot;#,##0.00;\-&quot;$&quot;#,##0.00"/>
    <numFmt numFmtId="200" formatCode="&quot;$&quot;#,##0;\-&quot;$&quot;#,##0"/>
    <numFmt numFmtId="201" formatCode="&quot;$&quot;#,##0;[Red]\-&quot;$&quot;#,##0"/>
    <numFmt numFmtId="202" formatCode="&quot;$&quot;#,##0.00;[Red]\-&quot;$&quot;#,##0.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_ * #,##0.0_ ;_ * \-#,##0.0_ ;_ * &quot;-&quot;??_ ;_ @_ "/>
    <numFmt numFmtId="210" formatCode="_(* #,##0.000000_);_(* \(#,##0.000000\);_(* &quot;-&quot;??_);_(@_)"/>
    <numFmt numFmtId="211" formatCode="0.00000%"/>
  </numFmts>
  <fonts count="7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b/>
      <sz val="11"/>
      <name val="Symbol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9.2"/>
      <color indexed="8"/>
      <name val="Calibri"/>
      <family val="0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sz val="10"/>
      <color indexed="10"/>
      <name val="Arial"/>
      <family val="0"/>
    </font>
    <font>
      <sz val="10"/>
      <color indexed="13"/>
      <name val="Arial"/>
      <family val="0"/>
    </font>
    <font>
      <sz val="10"/>
      <color indexed="43"/>
      <name val="Arial"/>
      <family val="0"/>
    </font>
    <font>
      <sz val="10"/>
      <color indexed="42"/>
      <name val="Arial"/>
      <family val="0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25"/>
      <color indexed="8"/>
      <name val="Arial"/>
      <family val="0"/>
    </font>
    <font>
      <b/>
      <sz val="7.9"/>
      <color indexed="8"/>
      <name val="Arial"/>
      <family val="0"/>
    </font>
    <font>
      <sz val="11.25"/>
      <color indexed="8"/>
      <name val="Arial"/>
      <family val="0"/>
    </font>
    <font>
      <sz val="9"/>
      <color indexed="8"/>
      <name val="Arial"/>
      <family val="0"/>
    </font>
    <font>
      <b/>
      <sz val="8.1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5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double"/>
      <right style="hair"/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 style="double"/>
      <right style="hair"/>
      <top style="medium">
        <color indexed="9"/>
      </top>
      <bottom style="thin"/>
    </border>
    <border>
      <left style="hair"/>
      <right style="hair"/>
      <top style="medium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 style="thin"/>
      <top style="medium"/>
      <bottom style="thin"/>
    </border>
    <border>
      <left>
        <color indexed="63"/>
      </left>
      <right style="double">
        <color indexed="9"/>
      </right>
      <top style="medium"/>
      <bottom style="thin"/>
    </border>
    <border>
      <left style="double">
        <color indexed="9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 style="thin"/>
    </border>
    <border>
      <left style="thin"/>
      <right style="thin"/>
      <top style="dotted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double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double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double"/>
      <top style="dotted"/>
      <bottom style="medium"/>
    </border>
    <border>
      <left>
        <color indexed="63"/>
      </left>
      <right style="medium"/>
      <top style="medium">
        <color indexed="9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4" borderId="0" applyNumberFormat="0" applyBorder="0" applyAlignment="0" applyProtection="0"/>
    <xf numFmtId="0" fontId="61" fillId="16" borderId="1" applyNumberFormat="0" applyAlignment="0" applyProtection="0"/>
    <xf numFmtId="0" fontId="62" fillId="17" borderId="2" applyNumberFormat="0" applyAlignment="0" applyProtection="0"/>
    <xf numFmtId="0" fontId="46" fillId="0" borderId="3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63" fillId="7" borderId="1" applyNumberFormat="0" applyAlignment="0" applyProtection="0"/>
    <xf numFmtId="19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16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7" fillId="0" borderId="8" applyNumberFormat="0" applyFill="0" applyAlignment="0" applyProtection="0"/>
    <xf numFmtId="0" fontId="69" fillId="0" borderId="9" applyNumberFormat="0" applyFill="0" applyAlignment="0" applyProtection="0"/>
  </cellStyleXfs>
  <cellXfs count="16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4" borderId="1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9" fontId="0" fillId="0" borderId="0" xfId="6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1" fontId="0" fillId="0" borderId="0" xfId="0" applyNumberFormat="1" applyFill="1" applyAlignment="1">
      <alignment/>
    </xf>
    <xf numFmtId="191" fontId="0" fillId="0" borderId="0" xfId="0" applyNumberFormat="1" applyAlignment="1">
      <alignment/>
    </xf>
    <xf numFmtId="187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17" borderId="11" xfId="0" applyFont="1" applyFill="1" applyBorder="1" applyAlignment="1">
      <alignment/>
    </xf>
    <xf numFmtId="0" fontId="2" fillId="17" borderId="12" xfId="0" applyFont="1" applyFill="1" applyBorder="1" applyAlignment="1">
      <alignment/>
    </xf>
    <xf numFmtId="0" fontId="19" fillId="17" borderId="13" xfId="0" applyFont="1" applyFill="1" applyBorder="1" applyAlignment="1">
      <alignment horizontal="center"/>
    </xf>
    <xf numFmtId="0" fontId="2" fillId="17" borderId="14" xfId="0" applyFont="1" applyFill="1" applyBorder="1" applyAlignment="1">
      <alignment/>
    </xf>
    <xf numFmtId="0" fontId="19" fillId="17" borderId="14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4" fillId="25" borderId="1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2" fillId="25" borderId="16" xfId="0" applyFont="1" applyFill="1" applyBorder="1" applyAlignment="1">
      <alignment/>
    </xf>
    <xf numFmtId="1" fontId="0" fillId="25" borderId="0" xfId="0" applyNumberFormat="1" applyFont="1" applyFill="1" applyBorder="1" applyAlignment="1">
      <alignment/>
    </xf>
    <xf numFmtId="1" fontId="0" fillId="25" borderId="17" xfId="0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188" fontId="4" fillId="25" borderId="17" xfId="0" applyNumberFormat="1" applyFont="1" applyFill="1" applyBorder="1" applyAlignment="1">
      <alignment horizontal="center"/>
    </xf>
    <xf numFmtId="0" fontId="4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2" fillId="17" borderId="16" xfId="0" applyFont="1" applyFill="1" applyBorder="1" applyAlignment="1">
      <alignment/>
    </xf>
    <xf numFmtId="188" fontId="2" fillId="17" borderId="17" xfId="0" applyNumberFormat="1" applyFont="1" applyFill="1" applyBorder="1" applyAlignment="1">
      <alignment horizontal="center"/>
    </xf>
    <xf numFmtId="188" fontId="2" fillId="17" borderId="18" xfId="0" applyNumberFormat="1" applyFont="1" applyFill="1" applyBorder="1" applyAlignment="1">
      <alignment horizontal="center"/>
    </xf>
    <xf numFmtId="0" fontId="1" fillId="17" borderId="0" xfId="0" applyFont="1" applyFill="1" applyBorder="1" applyAlignment="1">
      <alignment/>
    </xf>
    <xf numFmtId="0" fontId="2" fillId="17" borderId="25" xfId="0" applyFont="1" applyFill="1" applyBorder="1" applyAlignment="1">
      <alignment/>
    </xf>
    <xf numFmtId="0" fontId="1" fillId="17" borderId="26" xfId="0" applyFont="1" applyFill="1" applyBorder="1" applyAlignment="1">
      <alignment horizontal="right"/>
    </xf>
    <xf numFmtId="16" fontId="2" fillId="17" borderId="27" xfId="0" applyNumberFormat="1" applyFont="1" applyFill="1" applyBorder="1" applyAlignment="1" quotePrefix="1">
      <alignment horizontal="center"/>
    </xf>
    <xf numFmtId="0" fontId="2" fillId="17" borderId="28" xfId="0" applyFont="1" applyFill="1" applyBorder="1" applyAlignment="1">
      <alignment horizontal="center"/>
    </xf>
    <xf numFmtId="16" fontId="2" fillId="17" borderId="28" xfId="0" applyNumberFormat="1" applyFont="1" applyFill="1" applyBorder="1" applyAlignment="1" quotePrefix="1">
      <alignment horizontal="center"/>
    </xf>
    <xf numFmtId="0" fontId="2" fillId="17" borderId="29" xfId="0" applyFont="1" applyFill="1" applyBorder="1" applyAlignment="1">
      <alignment horizontal="center"/>
    </xf>
    <xf numFmtId="3" fontId="1" fillId="17" borderId="30" xfId="0" applyNumberFormat="1" applyFont="1" applyFill="1" applyBorder="1" applyAlignment="1">
      <alignment/>
    </xf>
    <xf numFmtId="0" fontId="2" fillId="17" borderId="31" xfId="0" applyFont="1" applyFill="1" applyBorder="1" applyAlignment="1">
      <alignment/>
    </xf>
    <xf numFmtId="3" fontId="1" fillId="17" borderId="32" xfId="0" applyNumberFormat="1" applyFont="1" applyFill="1" applyBorder="1" applyAlignment="1">
      <alignment/>
    </xf>
    <xf numFmtId="188" fontId="2" fillId="17" borderId="33" xfId="0" applyNumberFormat="1" applyFont="1" applyFill="1" applyBorder="1" applyAlignment="1">
      <alignment horizontal="center"/>
    </xf>
    <xf numFmtId="188" fontId="2" fillId="17" borderId="34" xfId="0" applyNumberFormat="1" applyFont="1" applyFill="1" applyBorder="1" applyAlignment="1">
      <alignment horizontal="center"/>
    </xf>
    <xf numFmtId="185" fontId="1" fillId="17" borderId="0" xfId="0" applyNumberFormat="1" applyFont="1" applyFill="1" applyBorder="1" applyAlignment="1">
      <alignment/>
    </xf>
    <xf numFmtId="1" fontId="1" fillId="17" borderId="0" xfId="0" applyNumberFormat="1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188" fontId="14" fillId="17" borderId="18" xfId="0" applyNumberFormat="1" applyFont="1" applyFill="1" applyBorder="1" applyAlignment="1">
      <alignment horizontal="center"/>
    </xf>
    <xf numFmtId="0" fontId="1" fillId="17" borderId="19" xfId="0" applyFont="1" applyFill="1" applyBorder="1" applyAlignment="1">
      <alignment/>
    </xf>
    <xf numFmtId="0" fontId="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17" borderId="35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17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1" fillId="25" borderId="18" xfId="0" applyFont="1" applyFill="1" applyBorder="1" applyAlignment="1">
      <alignment/>
    </xf>
    <xf numFmtId="0" fontId="24" fillId="0" borderId="0" xfId="0" applyFont="1" applyAlignment="1">
      <alignment/>
    </xf>
    <xf numFmtId="0" fontId="1" fillId="17" borderId="36" xfId="0" applyFont="1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1" fontId="0" fillId="25" borderId="36" xfId="0" applyNumberFormat="1" applyFill="1" applyBorder="1" applyAlignment="1">
      <alignment horizontal="center"/>
    </xf>
    <xf numFmtId="1" fontId="0" fillId="16" borderId="37" xfId="0" applyNumberFormat="1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1" fontId="0" fillId="25" borderId="37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3" fontId="0" fillId="16" borderId="37" xfId="0" applyNumberFormat="1" applyFill="1" applyBorder="1" applyAlignment="1">
      <alignment horizontal="center"/>
    </xf>
    <xf numFmtId="0" fontId="0" fillId="25" borderId="37" xfId="0" applyFont="1" applyFill="1" applyBorder="1" applyAlignment="1">
      <alignment horizontal="center"/>
    </xf>
    <xf numFmtId="3" fontId="0" fillId="25" borderId="37" xfId="0" applyNumberFormat="1" applyFill="1" applyBorder="1" applyAlignment="1">
      <alignment horizontal="center"/>
    </xf>
    <xf numFmtId="0" fontId="0" fillId="16" borderId="37" xfId="0" applyFont="1" applyFill="1" applyBorder="1" applyAlignment="1">
      <alignment horizontal="center"/>
    </xf>
    <xf numFmtId="0" fontId="2" fillId="16" borderId="37" xfId="0" applyFont="1" applyFill="1" applyBorder="1" applyAlignment="1">
      <alignment/>
    </xf>
    <xf numFmtId="43" fontId="0" fillId="0" borderId="0" xfId="0" applyNumberForma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8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Continuous"/>
    </xf>
    <xf numFmtId="0" fontId="31" fillId="0" borderId="0" xfId="0" applyFont="1" applyAlignment="1">
      <alignment/>
    </xf>
    <xf numFmtId="185" fontId="1" fillId="17" borderId="38" xfId="0" applyNumberFormat="1" applyFont="1" applyFill="1" applyBorder="1" applyAlignment="1">
      <alignment horizontal="center"/>
    </xf>
    <xf numFmtId="185" fontId="1" fillId="17" borderId="39" xfId="0" applyNumberFormat="1" applyFont="1" applyFill="1" applyBorder="1" applyAlignment="1">
      <alignment horizontal="center"/>
    </xf>
    <xf numFmtId="185" fontId="1" fillId="17" borderId="40" xfId="0" applyNumberFormat="1" applyFont="1" applyFill="1" applyBorder="1" applyAlignment="1">
      <alignment horizontal="centerContinuous"/>
    </xf>
    <xf numFmtId="185" fontId="1" fillId="17" borderId="41" xfId="0" applyNumberFormat="1" applyFont="1" applyFill="1" applyBorder="1" applyAlignment="1">
      <alignment horizontal="centerContinuous"/>
    </xf>
    <xf numFmtId="185" fontId="0" fillId="17" borderId="41" xfId="0" applyNumberFormat="1" applyFont="1" applyFill="1" applyBorder="1" applyAlignment="1">
      <alignment horizontal="centerContinuous"/>
    </xf>
    <xf numFmtId="185" fontId="0" fillId="17" borderId="42" xfId="0" applyNumberFormat="1" applyFont="1" applyFill="1" applyBorder="1" applyAlignment="1">
      <alignment horizontal="centerContinuous"/>
    </xf>
    <xf numFmtId="185" fontId="0" fillId="17" borderId="43" xfId="0" applyNumberFormat="1" applyFont="1" applyFill="1" applyBorder="1" applyAlignment="1">
      <alignment horizontal="centerContinuous"/>
    </xf>
    <xf numFmtId="185" fontId="1" fillId="17" borderId="44" xfId="0" applyNumberFormat="1" applyFont="1" applyFill="1" applyBorder="1" applyAlignment="1">
      <alignment horizontal="center"/>
    </xf>
    <xf numFmtId="185" fontId="1" fillId="17" borderId="45" xfId="0" applyNumberFormat="1" applyFont="1" applyFill="1" applyBorder="1" applyAlignment="1">
      <alignment horizontal="center"/>
    </xf>
    <xf numFmtId="185" fontId="14" fillId="17" borderId="46" xfId="0" applyNumberFormat="1" applyFont="1" applyFill="1" applyBorder="1" applyAlignment="1">
      <alignment/>
    </xf>
    <xf numFmtId="185" fontId="14" fillId="17" borderId="47" xfId="0" applyNumberFormat="1" applyFont="1" applyFill="1" applyBorder="1" applyAlignment="1">
      <alignment horizontal="center"/>
    </xf>
    <xf numFmtId="185" fontId="2" fillId="17" borderId="46" xfId="0" applyNumberFormat="1" applyFont="1" applyFill="1" applyBorder="1" applyAlignment="1">
      <alignment horizontal="center"/>
    </xf>
    <xf numFmtId="185" fontId="14" fillId="17" borderId="48" xfId="0" applyNumberFormat="1" applyFont="1" applyFill="1" applyBorder="1" applyAlignment="1">
      <alignment horizontal="center"/>
    </xf>
    <xf numFmtId="185" fontId="14" fillId="17" borderId="49" xfId="0" applyNumberFormat="1" applyFont="1" applyFill="1" applyBorder="1" applyAlignment="1">
      <alignment horizontal="center"/>
    </xf>
    <xf numFmtId="3" fontId="0" fillId="25" borderId="50" xfId="0" applyNumberFormat="1" applyFill="1" applyBorder="1" applyAlignment="1">
      <alignment horizontal="center"/>
    </xf>
    <xf numFmtId="188" fontId="1" fillId="25" borderId="51" xfId="0" applyNumberFormat="1" applyFont="1" applyFill="1" applyBorder="1" applyAlignment="1">
      <alignment/>
    </xf>
    <xf numFmtId="188" fontId="0" fillId="25" borderId="51" xfId="0" applyNumberFormat="1" applyFill="1" applyBorder="1" applyAlignment="1">
      <alignment/>
    </xf>
    <xf numFmtId="188" fontId="0" fillId="25" borderId="52" xfId="0" applyNumberFormat="1" applyFill="1" applyBorder="1" applyAlignment="1">
      <alignment/>
    </xf>
    <xf numFmtId="185" fontId="0" fillId="25" borderId="37" xfId="0" applyNumberFormat="1" applyFill="1" applyBorder="1" applyAlignment="1" quotePrefix="1">
      <alignment horizontal="center"/>
    </xf>
    <xf numFmtId="188" fontId="0" fillId="25" borderId="0" xfId="0" applyNumberFormat="1" applyFill="1" applyBorder="1" applyAlignment="1">
      <alignment/>
    </xf>
    <xf numFmtId="185" fontId="0" fillId="25" borderId="52" xfId="0" applyNumberFormat="1" applyFill="1" applyBorder="1" applyAlignment="1">
      <alignment/>
    </xf>
    <xf numFmtId="188" fontId="0" fillId="25" borderId="53" xfId="0" applyNumberFormat="1" applyFont="1" applyFill="1" applyBorder="1" applyAlignment="1">
      <alignment/>
    </xf>
    <xf numFmtId="3" fontId="0" fillId="7" borderId="50" xfId="0" applyNumberFormat="1" applyFill="1" applyBorder="1" applyAlignment="1">
      <alignment horizontal="center"/>
    </xf>
    <xf numFmtId="188" fontId="1" fillId="7" borderId="51" xfId="0" applyNumberFormat="1" applyFont="1" applyFill="1" applyBorder="1" applyAlignment="1">
      <alignment/>
    </xf>
    <xf numFmtId="188" fontId="0" fillId="7" borderId="51" xfId="0" applyNumberFormat="1" applyFill="1" applyBorder="1" applyAlignment="1">
      <alignment/>
    </xf>
    <xf numFmtId="188" fontId="0" fillId="7" borderId="52" xfId="0" applyNumberFormat="1" applyFill="1" applyBorder="1" applyAlignment="1">
      <alignment/>
    </xf>
    <xf numFmtId="185" fontId="0" fillId="7" borderId="37" xfId="0" applyNumberFormat="1" applyFill="1" applyBorder="1" applyAlignment="1" quotePrefix="1">
      <alignment horizontal="center"/>
    </xf>
    <xf numFmtId="185" fontId="0" fillId="7" borderId="52" xfId="0" applyNumberFormat="1" applyFill="1" applyBorder="1" applyAlignment="1">
      <alignment/>
    </xf>
    <xf numFmtId="188" fontId="0" fillId="7" borderId="53" xfId="0" applyNumberFormat="1" applyFont="1" applyFill="1" applyBorder="1" applyAlignment="1">
      <alignment/>
    </xf>
    <xf numFmtId="188" fontId="0" fillId="25" borderId="37" xfId="0" applyNumberFormat="1" applyFill="1" applyBorder="1" applyAlignment="1">
      <alignment/>
    </xf>
    <xf numFmtId="185" fontId="0" fillId="25" borderId="37" xfId="0" applyNumberFormat="1" applyFill="1" applyBorder="1" applyAlignment="1">
      <alignment horizontal="right"/>
    </xf>
    <xf numFmtId="185" fontId="0" fillId="25" borderId="37" xfId="0" applyNumberFormat="1" applyFill="1" applyBorder="1" applyAlignment="1">
      <alignment/>
    </xf>
    <xf numFmtId="188" fontId="0" fillId="7" borderId="37" xfId="0" applyNumberFormat="1" applyFill="1" applyBorder="1" applyAlignment="1">
      <alignment/>
    </xf>
    <xf numFmtId="185" fontId="0" fillId="7" borderId="37" xfId="0" applyNumberFormat="1" applyFill="1" applyBorder="1" applyAlignment="1">
      <alignment horizontal="right"/>
    </xf>
    <xf numFmtId="185" fontId="0" fillId="7" borderId="37" xfId="0" applyNumberFormat="1" applyFill="1" applyBorder="1" applyAlignment="1">
      <alignment/>
    </xf>
    <xf numFmtId="0" fontId="2" fillId="0" borderId="54" xfId="0" applyFont="1" applyFill="1" applyBorder="1" applyAlignment="1">
      <alignment/>
    </xf>
    <xf numFmtId="9" fontId="0" fillId="0" borderId="12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2" fillId="7" borderId="55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7" borderId="56" xfId="0" applyFont="1" applyFill="1" applyBorder="1" applyAlignment="1">
      <alignment/>
    </xf>
    <xf numFmtId="0" fontId="23" fillId="17" borderId="57" xfId="0" applyFont="1" applyFill="1" applyBorder="1" applyAlignment="1">
      <alignment horizontal="center"/>
    </xf>
    <xf numFmtId="0" fontId="23" fillId="17" borderId="58" xfId="0" applyFont="1" applyFill="1" applyBorder="1" applyAlignment="1">
      <alignment horizontal="center"/>
    </xf>
    <xf numFmtId="0" fontId="1" fillId="17" borderId="59" xfId="0" applyFont="1" applyFill="1" applyBorder="1" applyAlignment="1">
      <alignment horizontal="center"/>
    </xf>
    <xf numFmtId="0" fontId="1" fillId="17" borderId="60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61" xfId="0" applyFont="1" applyFill="1" applyBorder="1" applyAlignment="1">
      <alignment horizontal="center"/>
    </xf>
    <xf numFmtId="0" fontId="1" fillId="17" borderId="62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57" xfId="0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52" xfId="0" applyFill="1" applyBorder="1" applyAlignment="1">
      <alignment/>
    </xf>
    <xf numFmtId="0" fontId="0" fillId="25" borderId="63" xfId="0" applyFill="1" applyBorder="1" applyAlignment="1">
      <alignment/>
    </xf>
    <xf numFmtId="0" fontId="0" fillId="25" borderId="64" xfId="0" applyFill="1" applyBorder="1" applyAlignment="1">
      <alignment/>
    </xf>
    <xf numFmtId="0" fontId="0" fillId="25" borderId="15" xfId="0" applyFill="1" applyBorder="1" applyAlignment="1">
      <alignment/>
    </xf>
    <xf numFmtId="188" fontId="1" fillId="25" borderId="65" xfId="0" applyNumberFormat="1" applyFont="1" applyFill="1" applyBorder="1" applyAlignment="1">
      <alignment/>
    </xf>
    <xf numFmtId="188" fontId="14" fillId="25" borderId="37" xfId="0" applyNumberFormat="1" applyFont="1" applyFill="1" applyBorder="1" applyAlignment="1">
      <alignment/>
    </xf>
    <xf numFmtId="188" fontId="0" fillId="25" borderId="0" xfId="0" applyNumberFormat="1" applyFill="1" applyAlignment="1">
      <alignment/>
    </xf>
    <xf numFmtId="188" fontId="14" fillId="25" borderId="65" xfId="0" applyNumberFormat="1" applyFont="1" applyFill="1" applyBorder="1" applyAlignment="1">
      <alignment/>
    </xf>
    <xf numFmtId="188" fontId="0" fillId="25" borderId="19" xfId="0" applyNumberFormat="1" applyFill="1" applyBorder="1" applyAlignment="1">
      <alignment horizontal="center"/>
    </xf>
    <xf numFmtId="190" fontId="0" fillId="0" borderId="0" xfId="0" applyNumberFormat="1" applyAlignment="1">
      <alignment/>
    </xf>
    <xf numFmtId="0" fontId="0" fillId="7" borderId="16" xfId="0" applyFont="1" applyFill="1" applyBorder="1" applyAlignment="1">
      <alignment horizontal="center"/>
    </xf>
    <xf numFmtId="188" fontId="1" fillId="7" borderId="65" xfId="0" applyNumberFormat="1" applyFont="1" applyFill="1" applyBorder="1" applyAlignment="1">
      <alignment/>
    </xf>
    <xf numFmtId="188" fontId="14" fillId="7" borderId="37" xfId="0" applyNumberFormat="1" applyFont="1" applyFill="1" applyBorder="1" applyAlignment="1">
      <alignment/>
    </xf>
    <xf numFmtId="188" fontId="0" fillId="7" borderId="0" xfId="0" applyNumberFormat="1" applyFill="1" applyAlignment="1">
      <alignment/>
    </xf>
    <xf numFmtId="188" fontId="14" fillId="7" borderId="65" xfId="0" applyNumberFormat="1" applyFont="1" applyFill="1" applyBorder="1" applyAlignment="1">
      <alignment/>
    </xf>
    <xf numFmtId="188" fontId="0" fillId="7" borderId="0" xfId="0" applyNumberFormat="1" applyFill="1" applyBorder="1" applyAlignment="1">
      <alignment/>
    </xf>
    <xf numFmtId="188" fontId="0" fillId="7" borderId="19" xfId="0" applyNumberFormat="1" applyFill="1" applyBorder="1" applyAlignment="1">
      <alignment/>
    </xf>
    <xf numFmtId="188" fontId="0" fillId="25" borderId="19" xfId="0" applyNumberFormat="1" applyFill="1" applyBorder="1" applyAlignment="1">
      <alignment/>
    </xf>
    <xf numFmtId="4" fontId="1" fillId="25" borderId="65" xfId="0" applyNumberFormat="1" applyFont="1" applyFill="1" applyBorder="1" applyAlignment="1">
      <alignment/>
    </xf>
    <xf numFmtId="4" fontId="14" fillId="25" borderId="37" xfId="0" applyNumberFormat="1" applyFont="1" applyFill="1" applyBorder="1" applyAlignment="1">
      <alignment/>
    </xf>
    <xf numFmtId="4" fontId="0" fillId="25" borderId="52" xfId="0" applyNumberFormat="1" applyFill="1" applyBorder="1" applyAlignment="1">
      <alignment/>
    </xf>
    <xf numFmtId="4" fontId="0" fillId="25" borderId="66" xfId="0" applyNumberFormat="1" applyFill="1" applyBorder="1" applyAlignment="1">
      <alignment/>
    </xf>
    <xf numFmtId="4" fontId="14" fillId="25" borderId="65" xfId="0" applyNumberFormat="1" applyFont="1" applyFill="1" applyBorder="1" applyAlignment="1">
      <alignment/>
    </xf>
    <xf numFmtId="4" fontId="0" fillId="25" borderId="37" xfId="0" applyNumberFormat="1" applyFill="1" applyBorder="1" applyAlignment="1">
      <alignment/>
    </xf>
    <xf numFmtId="4" fontId="0" fillId="25" borderId="19" xfId="0" applyNumberFormat="1" applyFill="1" applyBorder="1" applyAlignment="1">
      <alignment/>
    </xf>
    <xf numFmtId="188" fontId="0" fillId="25" borderId="52" xfId="0" applyNumberFormat="1" applyFill="1" applyBorder="1" applyAlignment="1">
      <alignment/>
    </xf>
    <xf numFmtId="188" fontId="0" fillId="25" borderId="67" xfId="0" applyNumberFormat="1" applyFill="1" applyBorder="1" applyAlignment="1">
      <alignment/>
    </xf>
    <xf numFmtId="188" fontId="0" fillId="25" borderId="37" xfId="0" applyNumberFormat="1" applyFill="1" applyBorder="1" applyAlignment="1">
      <alignment/>
    </xf>
    <xf numFmtId="188" fontId="0" fillId="7" borderId="52" xfId="0" applyNumberFormat="1" applyFill="1" applyBorder="1" applyAlignment="1">
      <alignment/>
    </xf>
    <xf numFmtId="188" fontId="0" fillId="7" borderId="37" xfId="0" applyNumberFormat="1" applyFill="1" applyBorder="1" applyAlignment="1">
      <alignment/>
    </xf>
    <xf numFmtId="0" fontId="0" fillId="25" borderId="65" xfId="0" applyFill="1" applyBorder="1" applyAlignment="1">
      <alignment/>
    </xf>
    <xf numFmtId="9" fontId="13" fillId="7" borderId="68" xfId="61" applyNumberFormat="1" applyFont="1" applyFill="1" applyBorder="1" applyAlignment="1">
      <alignment/>
    </xf>
    <xf numFmtId="9" fontId="13" fillId="25" borderId="69" xfId="6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7" borderId="70" xfId="0" applyFont="1" applyFill="1" applyBorder="1" applyAlignment="1">
      <alignment horizontal="center" wrapText="1"/>
    </xf>
    <xf numFmtId="9" fontId="14" fillId="7" borderId="71" xfId="61" applyFont="1" applyFill="1" applyBorder="1" applyAlignment="1">
      <alignment horizontal="center"/>
    </xf>
    <xf numFmtId="9" fontId="13" fillId="7" borderId="72" xfId="61" applyFont="1" applyFill="1" applyBorder="1" applyAlignment="1">
      <alignment/>
    </xf>
    <xf numFmtId="9" fontId="14" fillId="25" borderId="19" xfId="61" applyFont="1" applyFill="1" applyBorder="1" applyAlignment="1">
      <alignment horizontal="center"/>
    </xf>
    <xf numFmtId="9" fontId="14" fillId="25" borderId="73" xfId="6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23" fillId="17" borderId="12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0" fillId="25" borderId="58" xfId="0" applyFill="1" applyBorder="1" applyAlignment="1">
      <alignment/>
    </xf>
    <xf numFmtId="188" fontId="0" fillId="7" borderId="53" xfId="0" applyNumberFormat="1" applyFill="1" applyBorder="1" applyAlignment="1">
      <alignment/>
    </xf>
    <xf numFmtId="188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8" fontId="0" fillId="25" borderId="53" xfId="0" applyNumberFormat="1" applyFill="1" applyBorder="1" applyAlignment="1">
      <alignment/>
    </xf>
    <xf numFmtId="188" fontId="0" fillId="0" borderId="0" xfId="0" applyNumberFormat="1" applyBorder="1" applyAlignment="1">
      <alignment/>
    </xf>
    <xf numFmtId="4" fontId="0" fillId="25" borderId="5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88" fontId="0" fillId="25" borderId="53" xfId="0" applyNumberFormat="1" applyFill="1" applyBorder="1" applyAlignment="1">
      <alignment/>
    </xf>
    <xf numFmtId="188" fontId="0" fillId="7" borderId="53" xfId="0" applyNumberFormat="1" applyFill="1" applyBorder="1" applyAlignment="1">
      <alignment/>
    </xf>
    <xf numFmtId="188" fontId="1" fillId="0" borderId="51" xfId="0" applyNumberFormat="1" applyFont="1" applyFill="1" applyBorder="1" applyAlignment="1">
      <alignment/>
    </xf>
    <xf numFmtId="185" fontId="0" fillId="0" borderId="37" xfId="0" applyNumberFormat="1" applyFill="1" applyBorder="1" applyAlignment="1">
      <alignment/>
    </xf>
    <xf numFmtId="188" fontId="0" fillId="0" borderId="51" xfId="0" applyNumberFormat="1" applyFill="1" applyBorder="1" applyAlignment="1">
      <alignment/>
    </xf>
    <xf numFmtId="188" fontId="0" fillId="0" borderId="37" xfId="0" applyNumberFormat="1" applyFill="1" applyBorder="1" applyAlignment="1">
      <alignment/>
    </xf>
    <xf numFmtId="188" fontId="0" fillId="0" borderId="52" xfId="0" applyNumberFormat="1" applyFill="1" applyBorder="1" applyAlignment="1">
      <alignment/>
    </xf>
    <xf numFmtId="188" fontId="0" fillId="0" borderId="53" xfId="0" applyNumberFormat="1" applyFont="1" applyFill="1" applyBorder="1" applyAlignment="1">
      <alignment/>
    </xf>
    <xf numFmtId="0" fontId="1" fillId="17" borderId="38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0" fillId="25" borderId="50" xfId="0" applyFill="1" applyBorder="1" applyAlignment="1">
      <alignment/>
    </xf>
    <xf numFmtId="0" fontId="0" fillId="25" borderId="51" xfId="0" applyFill="1" applyBorder="1" applyAlignment="1">
      <alignment/>
    </xf>
    <xf numFmtId="0" fontId="0" fillId="7" borderId="50" xfId="0" applyFont="1" applyFill="1" applyBorder="1" applyAlignment="1">
      <alignment horizontal="center"/>
    </xf>
    <xf numFmtId="188" fontId="1" fillId="7" borderId="51" xfId="0" applyNumberFormat="1" applyFont="1" applyFill="1" applyBorder="1" applyAlignment="1">
      <alignment/>
    </xf>
    <xf numFmtId="188" fontId="14" fillId="7" borderId="51" xfId="0" applyNumberFormat="1" applyFont="1" applyFill="1" applyBorder="1" applyAlignment="1">
      <alignment/>
    </xf>
    <xf numFmtId="188" fontId="0" fillId="7" borderId="19" xfId="0" applyNumberForma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0" fontId="0" fillId="25" borderId="50" xfId="0" applyFont="1" applyFill="1" applyBorder="1" applyAlignment="1">
      <alignment horizontal="center"/>
    </xf>
    <xf numFmtId="188" fontId="1" fillId="25" borderId="51" xfId="0" applyNumberFormat="1" applyFont="1" applyFill="1" applyBorder="1" applyAlignment="1">
      <alignment/>
    </xf>
    <xf numFmtId="188" fontId="14" fillId="25" borderId="51" xfId="0" applyNumberFormat="1" applyFont="1" applyFill="1" applyBorder="1" applyAlignment="1">
      <alignment/>
    </xf>
    <xf numFmtId="4" fontId="1" fillId="25" borderId="51" xfId="0" applyNumberFormat="1" applyFont="1" applyFill="1" applyBorder="1" applyAlignment="1">
      <alignment/>
    </xf>
    <xf numFmtId="4" fontId="0" fillId="25" borderId="74" xfId="0" applyNumberFormat="1" applyFill="1" applyBorder="1" applyAlignment="1">
      <alignment/>
    </xf>
    <xf numFmtId="4" fontId="14" fillId="25" borderId="51" xfId="0" applyNumberFormat="1" applyFont="1" applyFill="1" applyBorder="1" applyAlignment="1">
      <alignment/>
    </xf>
    <xf numFmtId="188" fontId="0" fillId="25" borderId="75" xfId="0" applyNumberFormat="1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188" fontId="0" fillId="4" borderId="0" xfId="0" applyNumberFormat="1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1" fillId="17" borderId="57" xfId="0" applyFont="1" applyFill="1" applyBorder="1" applyAlignment="1">
      <alignment horizontal="center"/>
    </xf>
    <xf numFmtId="0" fontId="1" fillId="17" borderId="64" xfId="0" applyFont="1" applyFill="1" applyBorder="1" applyAlignment="1">
      <alignment horizontal="center"/>
    </xf>
    <xf numFmtId="4" fontId="0" fillId="25" borderId="19" xfId="0" applyNumberFormat="1" applyFill="1" applyBorder="1" applyAlignment="1">
      <alignment horizontal="center"/>
    </xf>
    <xf numFmtId="188" fontId="14" fillId="25" borderId="52" xfId="0" applyNumberFormat="1" applyFont="1" applyFill="1" applyBorder="1" applyAlignment="1">
      <alignment/>
    </xf>
    <xf numFmtId="188" fontId="0" fillId="25" borderId="36" xfId="0" applyNumberFormat="1" applyFill="1" applyBorder="1" applyAlignment="1">
      <alignment/>
    </xf>
    <xf numFmtId="188" fontId="14" fillId="7" borderId="52" xfId="0" applyNumberFormat="1" applyFont="1" applyFill="1" applyBorder="1" applyAlignment="1">
      <alignment/>
    </xf>
    <xf numFmtId="4" fontId="14" fillId="7" borderId="51" xfId="0" applyNumberFormat="1" applyFont="1" applyFill="1" applyBorder="1" applyAlignment="1">
      <alignment/>
    </xf>
    <xf numFmtId="4" fontId="0" fillId="7" borderId="52" xfId="0" applyNumberFormat="1" applyFill="1" applyBorder="1" applyAlignment="1">
      <alignment/>
    </xf>
    <xf numFmtId="0" fontId="34" fillId="0" borderId="0" xfId="0" applyFont="1" applyBorder="1" applyAlignment="1">
      <alignment/>
    </xf>
    <xf numFmtId="0" fontId="1" fillId="17" borderId="57" xfId="0" applyFont="1" applyFill="1" applyBorder="1" applyAlignment="1">
      <alignment horizontal="center" vertical="center"/>
    </xf>
    <xf numFmtId="0" fontId="1" fillId="17" borderId="5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17" borderId="76" xfId="0" applyFont="1" applyFill="1" applyBorder="1" applyAlignment="1">
      <alignment horizontal="center" vertical="center"/>
    </xf>
    <xf numFmtId="0" fontId="1" fillId="17" borderId="7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22" borderId="0" xfId="0" applyNumberFormat="1" applyFill="1" applyAlignment="1">
      <alignment/>
    </xf>
    <xf numFmtId="0" fontId="0" fillId="7" borderId="0" xfId="0" applyFill="1" applyAlignment="1">
      <alignment/>
    </xf>
    <xf numFmtId="4" fontId="0" fillId="26" borderId="0" xfId="0" applyNumberFormat="1" applyFill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/>
    </xf>
    <xf numFmtId="0" fontId="1" fillId="17" borderId="11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Continuous"/>
    </xf>
    <xf numFmtId="0" fontId="1" fillId="17" borderId="77" xfId="0" applyFont="1" applyFill="1" applyBorder="1" applyAlignment="1">
      <alignment horizontal="centerContinuous"/>
    </xf>
    <xf numFmtId="0" fontId="1" fillId="17" borderId="40" xfId="0" applyFont="1" applyFill="1" applyBorder="1" applyAlignment="1">
      <alignment horizontal="centerContinuous"/>
    </xf>
    <xf numFmtId="0" fontId="0" fillId="17" borderId="77" xfId="0" applyFont="1" applyFill="1" applyBorder="1" applyAlignment="1">
      <alignment horizontal="centerContinuous"/>
    </xf>
    <xf numFmtId="0" fontId="0" fillId="17" borderId="40" xfId="0" applyFont="1" applyFill="1" applyBorder="1" applyAlignment="1">
      <alignment horizontal="centerContinuous"/>
    </xf>
    <xf numFmtId="0" fontId="0" fillId="17" borderId="43" xfId="0" applyFont="1" applyFill="1" applyBorder="1" applyAlignment="1">
      <alignment horizontal="centerContinuous"/>
    </xf>
    <xf numFmtId="0" fontId="1" fillId="17" borderId="20" xfId="0" applyFont="1" applyFill="1" applyBorder="1" applyAlignment="1">
      <alignment horizontal="center"/>
    </xf>
    <xf numFmtId="0" fontId="14" fillId="17" borderId="61" xfId="0" applyFont="1" applyFill="1" applyBorder="1" applyAlignment="1">
      <alignment horizontal="center"/>
    </xf>
    <xf numFmtId="0" fontId="14" fillId="17" borderId="47" xfId="0" applyFont="1" applyFill="1" applyBorder="1" applyAlignment="1">
      <alignment horizontal="center"/>
    </xf>
    <xf numFmtId="0" fontId="14" fillId="17" borderId="46" xfId="0" applyFont="1" applyFill="1" applyBorder="1" applyAlignment="1">
      <alignment horizontal="center"/>
    </xf>
    <xf numFmtId="0" fontId="14" fillId="17" borderId="21" xfId="0" applyFont="1" applyFill="1" applyBorder="1" applyAlignment="1">
      <alignment horizontal="center"/>
    </xf>
    <xf numFmtId="0" fontId="14" fillId="17" borderId="48" xfId="0" applyFont="1" applyFill="1" applyBorder="1" applyAlignment="1">
      <alignment horizontal="center"/>
    </xf>
    <xf numFmtId="0" fontId="14" fillId="17" borderId="49" xfId="0" applyFont="1" applyFill="1" applyBorder="1" applyAlignment="1">
      <alignment horizontal="center"/>
    </xf>
    <xf numFmtId="188" fontId="1" fillId="25" borderId="0" xfId="0" applyNumberFormat="1" applyFont="1" applyFill="1" applyBorder="1" applyAlignment="1" applyProtection="1">
      <alignment/>
      <protection locked="0"/>
    </xf>
    <xf numFmtId="188" fontId="0" fillId="25" borderId="52" xfId="0" applyNumberFormat="1" applyFill="1" applyBorder="1" applyAlignment="1" applyProtection="1">
      <alignment/>
      <protection locked="0"/>
    </xf>
    <xf numFmtId="188" fontId="0" fillId="25" borderId="37" xfId="0" applyNumberFormat="1" applyFill="1" applyBorder="1" applyAlignment="1" applyProtection="1">
      <alignment/>
      <protection locked="0"/>
    </xf>
    <xf numFmtId="185" fontId="0" fillId="25" borderId="51" xfId="0" applyNumberFormat="1" applyFill="1" applyBorder="1" applyAlignment="1" applyProtection="1" quotePrefix="1">
      <alignment horizontal="center"/>
      <protection locked="0"/>
    </xf>
    <xf numFmtId="188" fontId="0" fillId="25" borderId="0" xfId="0" applyNumberFormat="1" applyFill="1" applyBorder="1" applyAlignment="1" applyProtection="1">
      <alignment/>
      <protection locked="0"/>
    </xf>
    <xf numFmtId="188" fontId="1" fillId="16" borderId="16" xfId="0" applyNumberFormat="1" applyFont="1" applyFill="1" applyBorder="1" applyAlignment="1" applyProtection="1">
      <alignment/>
      <protection locked="0"/>
    </xf>
    <xf numFmtId="188" fontId="0" fillId="16" borderId="52" xfId="0" applyNumberFormat="1" applyFill="1" applyBorder="1" applyAlignment="1" applyProtection="1">
      <alignment/>
      <protection locked="0"/>
    </xf>
    <xf numFmtId="188" fontId="0" fillId="16" borderId="37" xfId="0" applyNumberFormat="1" applyFill="1" applyBorder="1" applyAlignment="1" applyProtection="1">
      <alignment/>
      <protection locked="0"/>
    </xf>
    <xf numFmtId="185" fontId="0" fillId="16" borderId="51" xfId="0" applyNumberFormat="1" applyFill="1" applyBorder="1" applyAlignment="1" applyProtection="1">
      <alignment/>
      <protection locked="0"/>
    </xf>
    <xf numFmtId="188" fontId="0" fillId="16" borderId="0" xfId="0" applyNumberFormat="1" applyFill="1" applyBorder="1" applyAlignment="1" applyProtection="1">
      <alignment/>
      <protection locked="0"/>
    </xf>
    <xf numFmtId="188" fontId="0" fillId="16" borderId="52" xfId="0" applyNumberFormat="1" applyFill="1" applyBorder="1" applyAlignment="1">
      <alignment/>
    </xf>
    <xf numFmtId="185" fontId="0" fillId="16" borderId="37" xfId="0" applyNumberFormat="1" applyFill="1" applyBorder="1" applyAlignment="1">
      <alignment/>
    </xf>
    <xf numFmtId="188" fontId="0" fillId="16" borderId="0" xfId="0" applyNumberFormat="1" applyFill="1" applyBorder="1" applyAlignment="1">
      <alignment/>
    </xf>
    <xf numFmtId="188" fontId="0" fillId="16" borderId="53" xfId="0" applyNumberFormat="1" applyFont="1" applyFill="1" applyBorder="1" applyAlignment="1">
      <alignment/>
    </xf>
    <xf numFmtId="188" fontId="1" fillId="25" borderId="16" xfId="0" applyNumberFormat="1" applyFont="1" applyFill="1" applyBorder="1" applyAlignment="1" applyProtection="1">
      <alignment/>
      <protection locked="0"/>
    </xf>
    <xf numFmtId="185" fontId="0" fillId="25" borderId="51" xfId="0" applyNumberFormat="1" applyFill="1" applyBorder="1" applyAlignment="1" applyProtection="1">
      <alignment/>
      <protection locked="0"/>
    </xf>
    <xf numFmtId="188" fontId="0" fillId="25" borderId="51" xfId="0" applyNumberFormat="1" applyFill="1" applyBorder="1" applyAlignment="1" applyProtection="1">
      <alignment/>
      <protection locked="0"/>
    </xf>
    <xf numFmtId="185" fontId="0" fillId="25" borderId="37" xfId="0" applyNumberFormat="1" applyFill="1" applyBorder="1" applyAlignment="1" quotePrefix="1">
      <alignment horizontal="right"/>
    </xf>
    <xf numFmtId="188" fontId="1" fillId="16" borderId="0" xfId="0" applyNumberFormat="1" applyFont="1" applyFill="1" applyBorder="1" applyAlignment="1" applyProtection="1">
      <alignment/>
      <protection locked="0"/>
    </xf>
    <xf numFmtId="185" fontId="0" fillId="0" borderId="0" xfId="0" applyNumberFormat="1" applyBorder="1" applyAlignment="1">
      <alignment horizontal="center"/>
    </xf>
    <xf numFmtId="0" fontId="0" fillId="25" borderId="50" xfId="0" applyFill="1" applyBorder="1" applyAlignment="1">
      <alignment horizontal="center"/>
    </xf>
    <xf numFmtId="185" fontId="0" fillId="25" borderId="37" xfId="0" applyNumberFormat="1" applyFill="1" applyBorder="1" applyAlignment="1" applyProtection="1">
      <alignment/>
      <protection locked="0"/>
    </xf>
    <xf numFmtId="185" fontId="0" fillId="16" borderId="37" xfId="0" applyNumberFormat="1" applyFill="1" applyBorder="1" applyAlignment="1" applyProtection="1">
      <alignment/>
      <protection locked="0"/>
    </xf>
    <xf numFmtId="188" fontId="0" fillId="16" borderId="51" xfId="0" applyNumberFormat="1" applyFill="1" applyBorder="1" applyAlignment="1" applyProtection="1">
      <alignment/>
      <protection locked="0"/>
    </xf>
    <xf numFmtId="188" fontId="0" fillId="16" borderId="37" xfId="0" applyNumberFormat="1" applyFill="1" applyBorder="1" applyAlignment="1">
      <alignment/>
    </xf>
    <xf numFmtId="0" fontId="0" fillId="16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88" fontId="1" fillId="0" borderId="0" xfId="0" applyNumberFormat="1" applyFont="1" applyFill="1" applyBorder="1" applyAlignment="1" applyProtection="1">
      <alignment/>
      <protection locked="0"/>
    </xf>
    <xf numFmtId="188" fontId="0" fillId="0" borderId="52" xfId="0" applyNumberFormat="1" applyFill="1" applyBorder="1" applyAlignment="1" applyProtection="1">
      <alignment/>
      <protection locked="0"/>
    </xf>
    <xf numFmtId="185" fontId="0" fillId="0" borderId="37" xfId="0" applyNumberFormat="1" applyFill="1" applyBorder="1" applyAlignment="1" applyProtection="1">
      <alignment/>
      <protection locked="0"/>
    </xf>
    <xf numFmtId="188" fontId="0" fillId="0" borderId="51" xfId="0" applyNumberFormat="1" applyFill="1" applyBorder="1" applyAlignment="1" applyProtection="1">
      <alignment/>
      <protection locked="0"/>
    </xf>
    <xf numFmtId="0" fontId="2" fillId="16" borderId="55" xfId="0" applyFont="1" applyFill="1" applyBorder="1" applyAlignment="1">
      <alignment/>
    </xf>
    <xf numFmtId="9" fontId="14" fillId="25" borderId="69" xfId="61" applyNumberFormat="1" applyFont="1" applyFill="1" applyBorder="1" applyAlignment="1">
      <alignment horizontal="center"/>
    </xf>
    <xf numFmtId="9" fontId="14" fillId="25" borderId="78" xfId="61" applyNumberFormat="1" applyFont="1" applyFill="1" applyBorder="1" applyAlignment="1">
      <alignment horizontal="center"/>
    </xf>
    <xf numFmtId="0" fontId="23" fillId="17" borderId="38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1" fillId="17" borderId="79" xfId="0" applyFont="1" applyFill="1" applyBorder="1" applyAlignment="1">
      <alignment horizontal="center"/>
    </xf>
    <xf numFmtId="0" fontId="1" fillId="17" borderId="80" xfId="0" applyFont="1" applyFill="1" applyBorder="1" applyAlignment="1">
      <alignment horizontal="center"/>
    </xf>
    <xf numFmtId="0" fontId="1" fillId="17" borderId="81" xfId="0" applyFont="1" applyFill="1" applyBorder="1" applyAlignment="1">
      <alignment horizontal="center"/>
    </xf>
    <xf numFmtId="0" fontId="1" fillId="17" borderId="82" xfId="0" applyFont="1" applyFill="1" applyBorder="1" applyAlignment="1">
      <alignment horizontal="center"/>
    </xf>
    <xf numFmtId="0" fontId="1" fillId="17" borderId="83" xfId="0" applyFont="1" applyFill="1" applyBorder="1" applyAlignment="1">
      <alignment horizontal="center"/>
    </xf>
    <xf numFmtId="0" fontId="1" fillId="17" borderId="84" xfId="0" applyFont="1" applyFill="1" applyBorder="1" applyAlignment="1">
      <alignment horizontal="center"/>
    </xf>
    <xf numFmtId="0" fontId="0" fillId="25" borderId="53" xfId="0" applyFill="1" applyBorder="1" applyAlignment="1">
      <alignment/>
    </xf>
    <xf numFmtId="188" fontId="1" fillId="16" borderId="51" xfId="0" applyNumberFormat="1" applyFont="1" applyFill="1" applyBorder="1" applyAlignment="1">
      <alignment/>
    </xf>
    <xf numFmtId="188" fontId="14" fillId="16" borderId="37" xfId="0" applyNumberFormat="1" applyFont="1" applyFill="1" applyBorder="1" applyAlignment="1">
      <alignment/>
    </xf>
    <xf numFmtId="188" fontId="0" fillId="16" borderId="52" xfId="0" applyNumberFormat="1" applyFill="1" applyBorder="1" applyAlignment="1">
      <alignment/>
    </xf>
    <xf numFmtId="188" fontId="0" fillId="16" borderId="53" xfId="0" applyNumberFormat="1" applyFill="1" applyBorder="1" applyAlignment="1">
      <alignment/>
    </xf>
    <xf numFmtId="188" fontId="14" fillId="16" borderId="16" xfId="0" applyNumberFormat="1" applyFont="1" applyFill="1" applyBorder="1" applyAlignment="1">
      <alignment/>
    </xf>
    <xf numFmtId="188" fontId="0" fillId="16" borderId="37" xfId="0" applyNumberFormat="1" applyFill="1" applyBorder="1" applyAlignment="1">
      <alignment/>
    </xf>
    <xf numFmtId="188" fontId="0" fillId="16" borderId="0" xfId="0" applyNumberFormat="1" applyFill="1" applyBorder="1" applyAlignment="1">
      <alignment/>
    </xf>
    <xf numFmtId="188" fontId="14" fillId="16" borderId="65" xfId="0" applyNumberFormat="1" applyFont="1" applyFill="1" applyBorder="1" applyAlignment="1">
      <alignment/>
    </xf>
    <xf numFmtId="188" fontId="0" fillId="16" borderId="19" xfId="0" applyNumberFormat="1" applyFill="1" applyBorder="1" applyAlignment="1">
      <alignment horizontal="right"/>
    </xf>
    <xf numFmtId="188" fontId="14" fillId="25" borderId="16" xfId="0" applyNumberFormat="1" applyFont="1" applyFill="1" applyBorder="1" applyAlignment="1">
      <alignment/>
    </xf>
    <xf numFmtId="188" fontId="0" fillId="25" borderId="0" xfId="0" applyNumberFormat="1" applyFill="1" applyBorder="1" applyAlignment="1">
      <alignment/>
    </xf>
    <xf numFmtId="188" fontId="0" fillId="16" borderId="19" xfId="0" applyNumberFormat="1" applyFill="1" applyBorder="1" applyAlignment="1">
      <alignment/>
    </xf>
    <xf numFmtId="4" fontId="14" fillId="25" borderId="16" xfId="0" applyNumberFormat="1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188" fontId="0" fillId="25" borderId="52" xfId="0" applyNumberFormat="1" applyFont="1" applyFill="1" applyBorder="1" applyAlignment="1">
      <alignment/>
    </xf>
    <xf numFmtId="188" fontId="0" fillId="16" borderId="52" xfId="0" applyNumberFormat="1" applyFont="1" applyFill="1" applyBorder="1" applyAlignment="1">
      <alignment/>
    </xf>
    <xf numFmtId="0" fontId="0" fillId="25" borderId="11" xfId="0" applyFill="1" applyBorder="1" applyAlignment="1">
      <alignment/>
    </xf>
    <xf numFmtId="9" fontId="13" fillId="25" borderId="85" xfId="61" applyNumberFormat="1" applyFont="1" applyFill="1" applyBorder="1" applyAlignment="1">
      <alignment/>
    </xf>
    <xf numFmtId="0" fontId="0" fillId="25" borderId="38" xfId="0" applyFill="1" applyBorder="1" applyAlignment="1">
      <alignment/>
    </xf>
    <xf numFmtId="0" fontId="0" fillId="16" borderId="86" xfId="0" applyFont="1" applyFill="1" applyBorder="1" applyAlignment="1">
      <alignment horizontal="center"/>
    </xf>
    <xf numFmtId="188" fontId="1" fillId="16" borderId="35" xfId="0" applyNumberFormat="1" applyFont="1" applyFill="1" applyBorder="1" applyAlignment="1">
      <alignment horizontal="center"/>
    </xf>
    <xf numFmtId="3" fontId="1" fillId="16" borderId="87" xfId="0" applyNumberFormat="1" applyFont="1" applyFill="1" applyBorder="1" applyAlignment="1">
      <alignment horizontal="center"/>
    </xf>
    <xf numFmtId="3" fontId="1" fillId="16" borderId="88" xfId="0" applyNumberFormat="1" applyFont="1" applyFill="1" applyBorder="1" applyAlignment="1">
      <alignment horizontal="center"/>
    </xf>
    <xf numFmtId="3" fontId="1" fillId="16" borderId="89" xfId="0" applyNumberFormat="1" applyFont="1" applyFill="1" applyBorder="1" applyAlignment="1">
      <alignment horizontal="center"/>
    </xf>
    <xf numFmtId="0" fontId="0" fillId="25" borderId="90" xfId="0" applyFill="1" applyBorder="1" applyAlignment="1">
      <alignment horizontal="center"/>
    </xf>
    <xf numFmtId="3" fontId="1" fillId="25" borderId="91" xfId="0" applyNumberFormat="1" applyFont="1" applyFill="1" applyBorder="1" applyAlignment="1">
      <alignment horizontal="center"/>
    </xf>
    <xf numFmtId="3" fontId="0" fillId="25" borderId="92" xfId="0" applyNumberFormat="1" applyFill="1" applyBorder="1" applyAlignment="1">
      <alignment horizontal="center"/>
    </xf>
    <xf numFmtId="3" fontId="0" fillId="25" borderId="36" xfId="0" applyNumberFormat="1" applyFill="1" applyBorder="1" applyAlignment="1">
      <alignment horizontal="center"/>
    </xf>
    <xf numFmtId="3" fontId="0" fillId="25" borderId="75" xfId="0" applyNumberForma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3" fontId="1" fillId="7" borderId="16" xfId="0" applyNumberFormat="1" applyFont="1" applyFill="1" applyBorder="1" applyAlignment="1">
      <alignment horizontal="center"/>
    </xf>
    <xf numFmtId="3" fontId="0" fillId="7" borderId="65" xfId="0" applyNumberFormat="1" applyFill="1" applyBorder="1" applyAlignment="1">
      <alignment horizontal="center"/>
    </xf>
    <xf numFmtId="3" fontId="0" fillId="7" borderId="37" xfId="0" applyNumberFormat="1" applyFill="1" applyBorder="1" applyAlignment="1">
      <alignment horizontal="center"/>
    </xf>
    <xf numFmtId="3" fontId="0" fillId="7" borderId="53" xfId="0" applyNumberFormat="1" applyFill="1" applyBorder="1" applyAlignment="1">
      <alignment horizontal="center"/>
    </xf>
    <xf numFmtId="3" fontId="1" fillId="25" borderId="16" xfId="0" applyNumberFormat="1" applyFont="1" applyFill="1" applyBorder="1" applyAlignment="1">
      <alignment horizontal="center"/>
    </xf>
    <xf numFmtId="3" fontId="0" fillId="25" borderId="65" xfId="0" applyNumberFormat="1" applyFill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3" fontId="1" fillId="23" borderId="0" xfId="0" applyNumberFormat="1" applyFont="1" applyFill="1" applyBorder="1" applyAlignment="1">
      <alignment horizontal="center"/>
    </xf>
    <xf numFmtId="3" fontId="0" fillId="23" borderId="0" xfId="0" applyNumberFormat="1" applyFill="1" applyBorder="1" applyAlignment="1">
      <alignment horizontal="center"/>
    </xf>
    <xf numFmtId="0" fontId="2" fillId="7" borderId="54" xfId="0" applyFont="1" applyFill="1" applyBorder="1" applyAlignment="1">
      <alignment/>
    </xf>
    <xf numFmtId="0" fontId="2" fillId="25" borderId="93" xfId="0" applyFont="1" applyFill="1" applyBorder="1" applyAlignment="1">
      <alignment/>
    </xf>
    <xf numFmtId="9" fontId="14" fillId="25" borderId="72" xfId="61" applyNumberFormat="1" applyFont="1" applyFill="1" applyBorder="1" applyAlignment="1">
      <alignment horizontal="center"/>
    </xf>
    <xf numFmtId="0" fontId="2" fillId="7" borderId="93" xfId="0" applyFont="1" applyFill="1" applyBorder="1" applyAlignment="1">
      <alignment/>
    </xf>
    <xf numFmtId="9" fontId="14" fillId="7" borderId="72" xfId="61" applyFont="1" applyFill="1" applyBorder="1" applyAlignment="1">
      <alignment horizontal="center"/>
    </xf>
    <xf numFmtId="0" fontId="2" fillId="25" borderId="56" xfId="0" applyFont="1" applyFill="1" applyBorder="1" applyAlignment="1">
      <alignment/>
    </xf>
    <xf numFmtId="9" fontId="14" fillId="25" borderId="94" xfId="61" applyFont="1" applyFill="1" applyBorder="1" applyAlignment="1">
      <alignment horizontal="center"/>
    </xf>
    <xf numFmtId="0" fontId="1" fillId="16" borderId="88" xfId="0" applyFont="1" applyFill="1" applyBorder="1" applyAlignment="1">
      <alignment horizontal="center" vertical="center"/>
    </xf>
    <xf numFmtId="0" fontId="1" fillId="16" borderId="88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95" xfId="0" applyFont="1" applyFill="1" applyBorder="1" applyAlignment="1">
      <alignment/>
    </xf>
    <xf numFmtId="0" fontId="2" fillId="7" borderId="69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7" borderId="96" xfId="0" applyFont="1" applyFill="1" applyBorder="1" applyAlignment="1">
      <alignment/>
    </xf>
    <xf numFmtId="0" fontId="32" fillId="0" borderId="0" xfId="0" applyFont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97" xfId="0" applyFont="1" applyFill="1" applyBorder="1" applyAlignment="1">
      <alignment horizontal="centerContinuous"/>
    </xf>
    <xf numFmtId="0" fontId="1" fillId="7" borderId="98" xfId="0" applyFont="1" applyFill="1" applyBorder="1" applyAlignment="1">
      <alignment horizontal="centerContinuous"/>
    </xf>
    <xf numFmtId="0" fontId="0" fillId="7" borderId="99" xfId="0" applyFont="1" applyFill="1" applyBorder="1" applyAlignment="1">
      <alignment horizontal="centerContinuous"/>
    </xf>
    <xf numFmtId="0" fontId="1" fillId="7" borderId="100" xfId="0" applyFont="1" applyFill="1" applyBorder="1" applyAlignment="1">
      <alignment horizontal="centerContinuous"/>
    </xf>
    <xf numFmtId="0" fontId="0" fillId="7" borderId="98" xfId="0" applyFont="1" applyFill="1" applyBorder="1" applyAlignment="1">
      <alignment horizontal="centerContinuous"/>
    </xf>
    <xf numFmtId="0" fontId="0" fillId="7" borderId="101" xfId="0" applyFont="1" applyFill="1" applyBorder="1" applyAlignment="1">
      <alignment horizontal="centerContinuous"/>
    </xf>
    <xf numFmtId="0" fontId="1" fillId="7" borderId="20" xfId="0" applyFont="1" applyFill="1" applyBorder="1" applyAlignment="1">
      <alignment horizontal="center"/>
    </xf>
    <xf numFmtId="0" fontId="14" fillId="7" borderId="61" xfId="0" applyFont="1" applyFill="1" applyBorder="1" applyAlignment="1">
      <alignment horizontal="center"/>
    </xf>
    <xf numFmtId="0" fontId="14" fillId="7" borderId="48" xfId="0" applyFont="1" applyFill="1" applyBorder="1" applyAlignment="1">
      <alignment horizontal="center"/>
    </xf>
    <xf numFmtId="0" fontId="14" fillId="7" borderId="47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188" fontId="1" fillId="25" borderId="16" xfId="0" applyNumberFormat="1" applyFont="1" applyFill="1" applyBorder="1" applyAlignment="1">
      <alignment/>
    </xf>
    <xf numFmtId="3" fontId="0" fillId="25" borderId="52" xfId="0" applyNumberFormat="1" applyFill="1" applyBorder="1" applyAlignment="1">
      <alignment horizontal="center"/>
    </xf>
    <xf numFmtId="3" fontId="0" fillId="25" borderId="0" xfId="0" applyNumberFormat="1" applyFill="1" applyBorder="1" applyAlignment="1">
      <alignment horizontal="center"/>
    </xf>
    <xf numFmtId="3" fontId="0" fillId="7" borderId="52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3" fontId="0" fillId="7" borderId="51" xfId="0" applyNumberFormat="1" applyFill="1" applyBorder="1" applyAlignment="1">
      <alignment horizontal="center"/>
    </xf>
    <xf numFmtId="3" fontId="0" fillId="25" borderId="51" xfId="0" applyNumberFormat="1" applyFill="1" applyBorder="1" applyAlignment="1">
      <alignment horizontal="center"/>
    </xf>
    <xf numFmtId="9" fontId="14" fillId="25" borderId="102" xfId="61" applyNumberFormat="1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103" xfId="0" applyFont="1" applyFill="1" applyBorder="1" applyAlignment="1">
      <alignment horizontal="center"/>
    </xf>
    <xf numFmtId="0" fontId="1" fillId="7" borderId="104" xfId="0" applyFont="1" applyFill="1" applyBorder="1" applyAlignment="1">
      <alignment horizontal="center"/>
    </xf>
    <xf numFmtId="0" fontId="1" fillId="7" borderId="105" xfId="0" applyFont="1" applyFill="1" applyBorder="1" applyAlignment="1">
      <alignment horizontal="center"/>
    </xf>
    <xf numFmtId="0" fontId="0" fillId="25" borderId="39" xfId="0" applyFill="1" applyBorder="1" applyAlignment="1">
      <alignment/>
    </xf>
    <xf numFmtId="3" fontId="1" fillId="7" borderId="51" xfId="0" applyNumberFormat="1" applyFont="1" applyFill="1" applyBorder="1" applyAlignment="1">
      <alignment horizontal="center"/>
    </xf>
    <xf numFmtId="3" fontId="14" fillId="7" borderId="37" xfId="0" applyNumberFormat="1" applyFont="1" applyFill="1" applyBorder="1" applyAlignment="1">
      <alignment horizontal="center"/>
    </xf>
    <xf numFmtId="3" fontId="14" fillId="7" borderId="65" xfId="0" applyNumberFormat="1" applyFon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1" fillId="25" borderId="51" xfId="0" applyNumberFormat="1" applyFont="1" applyFill="1" applyBorder="1" applyAlignment="1">
      <alignment horizontal="center"/>
    </xf>
    <xf numFmtId="3" fontId="14" fillId="25" borderId="37" xfId="0" applyNumberFormat="1" applyFont="1" applyFill="1" applyBorder="1" applyAlignment="1">
      <alignment horizontal="center"/>
    </xf>
    <xf numFmtId="3" fontId="14" fillId="25" borderId="65" xfId="0" applyNumberFormat="1" applyFont="1" applyFill="1" applyBorder="1" applyAlignment="1">
      <alignment horizontal="center"/>
    </xf>
    <xf numFmtId="3" fontId="0" fillId="25" borderId="19" xfId="0" applyNumberFormat="1" applyFill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10" fontId="1" fillId="0" borderId="0" xfId="61" applyNumberFormat="1" applyFont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4" fillId="0" borderId="37" xfId="0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4" fillId="0" borderId="65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7" borderId="62" xfId="0" applyNumberFormat="1" applyFill="1" applyBorder="1" applyAlignment="1">
      <alignment horizontal="center"/>
    </xf>
    <xf numFmtId="3" fontId="0" fillId="7" borderId="61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0" fontId="18" fillId="0" borderId="54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18" fillId="7" borderId="55" xfId="0" applyFont="1" applyFill="1" applyBorder="1" applyAlignment="1">
      <alignment horizontal="center" wrapText="1"/>
    </xf>
    <xf numFmtId="9" fontId="14" fillId="0" borderId="0" xfId="61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 wrapText="1"/>
    </xf>
    <xf numFmtId="0" fontId="18" fillId="7" borderId="56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0" fontId="0" fillId="25" borderId="19" xfId="0" applyFill="1" applyBorder="1" applyAlignment="1">
      <alignment/>
    </xf>
    <xf numFmtId="3" fontId="0" fillId="25" borderId="16" xfId="0" applyNumberFormat="1" applyFont="1" applyFill="1" applyBorder="1" applyAlignment="1">
      <alignment horizontal="center"/>
    </xf>
    <xf numFmtId="3" fontId="1" fillId="25" borderId="65" xfId="0" applyNumberFormat="1" applyFont="1" applyFill="1" applyBorder="1" applyAlignment="1">
      <alignment horizontal="center"/>
    </xf>
    <xf numFmtId="3" fontId="0" fillId="7" borderId="16" xfId="0" applyNumberFormat="1" applyFont="1" applyFill="1" applyBorder="1" applyAlignment="1">
      <alignment horizontal="center"/>
    </xf>
    <xf numFmtId="3" fontId="1" fillId="7" borderId="65" xfId="0" applyNumberFormat="1" applyFont="1" applyFill="1" applyBorder="1" applyAlignment="1">
      <alignment horizontal="center"/>
    </xf>
    <xf numFmtId="0" fontId="1" fillId="16" borderId="91" xfId="0" applyFont="1" applyFill="1" applyBorder="1" applyAlignment="1">
      <alignment horizontal="center"/>
    </xf>
    <xf numFmtId="0" fontId="14" fillId="16" borderId="36" xfId="0" applyFont="1" applyFill="1" applyBorder="1" applyAlignment="1">
      <alignment horizontal="center"/>
    </xf>
    <xf numFmtId="0" fontId="14" fillId="16" borderId="106" xfId="0" applyFont="1" applyFill="1" applyBorder="1" applyAlignment="1">
      <alignment horizontal="center"/>
    </xf>
    <xf numFmtId="0" fontId="14" fillId="16" borderId="91" xfId="0" applyFont="1" applyFill="1" applyBorder="1" applyAlignment="1">
      <alignment horizontal="center"/>
    </xf>
    <xf numFmtId="0" fontId="14" fillId="16" borderId="107" xfId="0" applyFont="1" applyFill="1" applyBorder="1" applyAlignment="1">
      <alignment horizontal="center"/>
    </xf>
    <xf numFmtId="0" fontId="14" fillId="16" borderId="67" xfId="0" applyFont="1" applyFill="1" applyBorder="1" applyAlignment="1">
      <alignment horizontal="center"/>
    </xf>
    <xf numFmtId="0" fontId="0" fillId="16" borderId="108" xfId="0" applyFont="1" applyFill="1" applyBorder="1" applyAlignment="1">
      <alignment horizontal="center"/>
    </xf>
    <xf numFmtId="188" fontId="1" fillId="16" borderId="86" xfId="0" applyNumberFormat="1" applyFont="1" applyFill="1" applyBorder="1" applyAlignment="1">
      <alignment/>
    </xf>
    <xf numFmtId="188" fontId="0" fillId="16" borderId="96" xfId="0" applyNumberFormat="1" applyFont="1" applyFill="1" applyBorder="1" applyAlignment="1">
      <alignment/>
    </xf>
    <xf numFmtId="188" fontId="0" fillId="16" borderId="109" xfId="0" applyNumberFormat="1" applyFont="1" applyFill="1" applyBorder="1" applyAlignment="1">
      <alignment/>
    </xf>
    <xf numFmtId="188" fontId="0" fillId="16" borderId="86" xfId="0" applyNumberFormat="1" applyFont="1" applyFill="1" applyBorder="1" applyAlignment="1">
      <alignment/>
    </xf>
    <xf numFmtId="188" fontId="0" fillId="16" borderId="110" xfId="0" applyNumberFormat="1" applyFont="1" applyFill="1" applyBorder="1" applyAlignment="1">
      <alignment/>
    </xf>
    <xf numFmtId="188" fontId="0" fillId="16" borderId="66" xfId="0" applyNumberFormat="1" applyFont="1" applyFill="1" applyBorder="1" applyAlignment="1">
      <alignment/>
    </xf>
    <xf numFmtId="0" fontId="0" fillId="25" borderId="90" xfId="0" applyFont="1" applyFill="1" applyBorder="1" applyAlignment="1">
      <alignment horizontal="center"/>
    </xf>
    <xf numFmtId="188" fontId="1" fillId="25" borderId="91" xfId="0" applyNumberFormat="1" applyFont="1" applyFill="1" applyBorder="1" applyAlignment="1">
      <alignment/>
    </xf>
    <xf numFmtId="188" fontId="0" fillId="25" borderId="36" xfId="0" applyNumberFormat="1" applyFont="1" applyFill="1" applyBorder="1" applyAlignment="1">
      <alignment/>
    </xf>
    <xf numFmtId="188" fontId="0" fillId="25" borderId="106" xfId="0" applyNumberFormat="1" applyFont="1" applyFill="1" applyBorder="1" applyAlignment="1">
      <alignment/>
    </xf>
    <xf numFmtId="188" fontId="0" fillId="25" borderId="91" xfId="0" applyNumberFormat="1" applyFont="1" applyFill="1" applyBorder="1" applyAlignment="1">
      <alignment/>
    </xf>
    <xf numFmtId="188" fontId="0" fillId="25" borderId="111" xfId="0" applyNumberFormat="1" applyFont="1" applyFill="1" applyBorder="1" applyAlignment="1">
      <alignment/>
    </xf>
    <xf numFmtId="188" fontId="0" fillId="25" borderId="67" xfId="0" applyNumberFormat="1" applyFont="1" applyFill="1" applyBorder="1" applyAlignment="1">
      <alignment/>
    </xf>
    <xf numFmtId="188" fontId="1" fillId="7" borderId="16" xfId="0" applyNumberFormat="1" applyFont="1" applyFill="1" applyBorder="1" applyAlignment="1">
      <alignment/>
    </xf>
    <xf numFmtId="188" fontId="0" fillId="7" borderId="37" xfId="0" applyNumberFormat="1" applyFont="1" applyFill="1" applyBorder="1" applyAlignment="1">
      <alignment/>
    </xf>
    <xf numFmtId="188" fontId="0" fillId="7" borderId="19" xfId="0" applyNumberFormat="1" applyFont="1" applyFill="1" applyBorder="1" applyAlignment="1">
      <alignment/>
    </xf>
    <xf numFmtId="188" fontId="0" fillId="7" borderId="16" xfId="0" applyNumberFormat="1" applyFont="1" applyFill="1" applyBorder="1" applyAlignment="1">
      <alignment/>
    </xf>
    <xf numFmtId="188" fontId="0" fillId="7" borderId="51" xfId="0" applyNumberFormat="1" applyFont="1" applyFill="1" applyBorder="1" applyAlignment="1">
      <alignment/>
    </xf>
    <xf numFmtId="188" fontId="0" fillId="7" borderId="52" xfId="0" applyNumberFormat="1" applyFont="1" applyFill="1" applyBorder="1" applyAlignment="1">
      <alignment/>
    </xf>
    <xf numFmtId="188" fontId="0" fillId="25" borderId="37" xfId="0" applyNumberFormat="1" applyFont="1" applyFill="1" applyBorder="1" applyAlignment="1">
      <alignment/>
    </xf>
    <xf numFmtId="188" fontId="0" fillId="25" borderId="19" xfId="0" applyNumberFormat="1" applyFont="1" applyFill="1" applyBorder="1" applyAlignment="1">
      <alignment/>
    </xf>
    <xf numFmtId="188" fontId="0" fillId="25" borderId="16" xfId="0" applyNumberFormat="1" applyFont="1" applyFill="1" applyBorder="1" applyAlignment="1">
      <alignment/>
    </xf>
    <xf numFmtId="188" fontId="0" fillId="25" borderId="51" xfId="0" applyNumberFormat="1" applyFont="1" applyFill="1" applyBorder="1" applyAlignment="1">
      <alignment/>
    </xf>
    <xf numFmtId="188" fontId="0" fillId="25" borderId="52" xfId="0" applyNumberFormat="1" applyFont="1" applyFill="1" applyBorder="1" applyAlignment="1">
      <alignment/>
    </xf>
    <xf numFmtId="185" fontId="0" fillId="16" borderId="0" xfId="0" applyNumberFormat="1" applyFill="1" applyAlignment="1">
      <alignment/>
    </xf>
    <xf numFmtId="185" fontId="0" fillId="25" borderId="37" xfId="0" applyNumberFormat="1" applyFont="1" applyFill="1" applyBorder="1" applyAlignment="1">
      <alignment/>
    </xf>
    <xf numFmtId="185" fontId="0" fillId="7" borderId="37" xfId="0" applyNumberFormat="1" applyFont="1" applyFill="1" applyBorder="1" applyAlignment="1">
      <alignment/>
    </xf>
    <xf numFmtId="0" fontId="0" fillId="16" borderId="0" xfId="0" applyFill="1" applyBorder="1" applyAlignment="1">
      <alignment/>
    </xf>
    <xf numFmtId="188" fontId="0" fillId="7" borderId="0" xfId="0" applyNumberFormat="1" applyFont="1" applyFill="1" applyBorder="1" applyAlignment="1">
      <alignment/>
    </xf>
    <xf numFmtId="188" fontId="0" fillId="25" borderId="0" xfId="0" applyNumberFormat="1" applyFont="1" applyFill="1" applyBorder="1" applyAlignment="1">
      <alignment/>
    </xf>
    <xf numFmtId="185" fontId="0" fillId="25" borderId="62" xfId="0" applyNumberFormat="1" applyFont="1" applyFill="1" applyBorder="1" applyAlignment="1">
      <alignment/>
    </xf>
    <xf numFmtId="9" fontId="13" fillId="7" borderId="68" xfId="61" applyNumberFormat="1" applyFont="1" applyFill="1" applyBorder="1" applyAlignment="1">
      <alignment horizontal="center"/>
    </xf>
    <xf numFmtId="9" fontId="13" fillId="25" borderId="72" xfId="61" applyNumberFormat="1" applyFont="1" applyFill="1" applyBorder="1" applyAlignment="1">
      <alignment horizontal="center"/>
    </xf>
    <xf numFmtId="9" fontId="13" fillId="7" borderId="112" xfId="61" applyFont="1" applyFill="1" applyBorder="1" applyAlignment="1">
      <alignment horizontal="center"/>
    </xf>
    <xf numFmtId="9" fontId="13" fillId="7" borderId="72" xfId="61" applyFont="1" applyFill="1" applyBorder="1" applyAlignment="1">
      <alignment horizontal="center"/>
    </xf>
    <xf numFmtId="9" fontId="13" fillId="25" borderId="113" xfId="61" applyFont="1" applyFill="1" applyBorder="1" applyAlignment="1">
      <alignment horizontal="center"/>
    </xf>
    <xf numFmtId="9" fontId="13" fillId="25" borderId="94" xfId="61" applyFont="1" applyFill="1" applyBorder="1" applyAlignment="1">
      <alignment horizontal="center"/>
    </xf>
    <xf numFmtId="0" fontId="1" fillId="16" borderId="57" xfId="0" applyFont="1" applyFill="1" applyBorder="1" applyAlignment="1">
      <alignment horizontal="center"/>
    </xf>
    <xf numFmtId="0" fontId="1" fillId="16" borderId="64" xfId="0" applyFont="1" applyFill="1" applyBorder="1" applyAlignment="1">
      <alignment horizontal="center"/>
    </xf>
    <xf numFmtId="0" fontId="1" fillId="16" borderId="59" xfId="0" applyFont="1" applyFill="1" applyBorder="1" applyAlignment="1">
      <alignment horizontal="center"/>
    </xf>
    <xf numFmtId="0" fontId="1" fillId="16" borderId="62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36" fillId="16" borderId="48" xfId="0" applyFont="1" applyFill="1" applyBorder="1" applyAlignment="1">
      <alignment horizontal="center"/>
    </xf>
    <xf numFmtId="0" fontId="36" fillId="16" borderId="47" xfId="0" applyFont="1" applyFill="1" applyBorder="1" applyAlignment="1">
      <alignment horizontal="center"/>
    </xf>
    <xf numFmtId="0" fontId="36" fillId="16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1" fillId="25" borderId="37" xfId="0" applyNumberFormat="1" applyFont="1" applyFill="1" applyBorder="1" applyAlignment="1">
      <alignment/>
    </xf>
    <xf numFmtId="188" fontId="0" fillId="25" borderId="53" xfId="0" applyNumberFormat="1" applyFont="1" applyFill="1" applyBorder="1" applyAlignment="1">
      <alignment/>
    </xf>
    <xf numFmtId="4" fontId="0" fillId="0" borderId="0" xfId="0" applyNumberFormat="1" applyBorder="1" applyAlignment="1">
      <alignment horizontal="center"/>
    </xf>
    <xf numFmtId="188" fontId="1" fillId="7" borderId="37" xfId="0" applyNumberFormat="1" applyFont="1" applyFill="1" applyBorder="1" applyAlignment="1">
      <alignment/>
    </xf>
    <xf numFmtId="188" fontId="0" fillId="7" borderId="52" xfId="0" applyNumberFormat="1" applyFont="1" applyFill="1" applyBorder="1" applyAlignment="1">
      <alignment/>
    </xf>
    <xf numFmtId="188" fontId="0" fillId="7" borderId="53" xfId="0" applyNumberFormat="1" applyFont="1" applyFill="1" applyBorder="1" applyAlignment="1">
      <alignment/>
    </xf>
    <xf numFmtId="188" fontId="0" fillId="25" borderId="67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4" fontId="0" fillId="26" borderId="0" xfId="0" applyNumberFormat="1" applyFill="1" applyAlignment="1">
      <alignment horizontal="center"/>
    </xf>
    <xf numFmtId="10" fontId="0" fillId="26" borderId="0" xfId="0" applyNumberFormat="1" applyFill="1" applyAlignment="1">
      <alignment/>
    </xf>
    <xf numFmtId="0" fontId="18" fillId="7" borderId="54" xfId="0" applyFont="1" applyFill="1" applyBorder="1" applyAlignment="1">
      <alignment horizontal="center" wrapText="1"/>
    </xf>
    <xf numFmtId="9" fontId="14" fillId="7" borderId="114" xfId="61" applyNumberFormat="1" applyFont="1" applyFill="1" applyBorder="1" applyAlignment="1">
      <alignment horizontal="center"/>
    </xf>
    <xf numFmtId="9" fontId="13" fillId="7" borderId="115" xfId="61" applyNumberFormat="1" applyFont="1" applyFill="1" applyBorder="1" applyAlignment="1">
      <alignment/>
    </xf>
    <xf numFmtId="9" fontId="13" fillId="0" borderId="11" xfId="61" applyNumberFormat="1" applyFont="1" applyBorder="1" applyAlignment="1">
      <alignment/>
    </xf>
    <xf numFmtId="9" fontId="13" fillId="0" borderId="12" xfId="61" applyNumberFormat="1" applyFont="1" applyBorder="1" applyAlignment="1">
      <alignment/>
    </xf>
    <xf numFmtId="9" fontId="14" fillId="0" borderId="15" xfId="61" applyNumberFormat="1" applyFont="1" applyBorder="1" applyAlignment="1">
      <alignment horizontal="center"/>
    </xf>
    <xf numFmtId="9" fontId="13" fillId="7" borderId="116" xfId="61" applyNumberFormat="1" applyFont="1" applyFill="1" applyBorder="1" applyAlignment="1">
      <alignment/>
    </xf>
    <xf numFmtId="9" fontId="13" fillId="7" borderId="114" xfId="61" applyNumberFormat="1" applyFont="1" applyFill="1" applyBorder="1" applyAlignment="1">
      <alignment/>
    </xf>
    <xf numFmtId="9" fontId="13" fillId="0" borderId="11" xfId="61" applyFont="1" applyBorder="1" applyAlignment="1">
      <alignment/>
    </xf>
    <xf numFmtId="9" fontId="13" fillId="25" borderId="117" xfId="61" applyNumberFormat="1" applyFont="1" applyFill="1" applyBorder="1" applyAlignment="1">
      <alignment/>
    </xf>
    <xf numFmtId="9" fontId="13" fillId="0" borderId="16" xfId="61" applyNumberFormat="1" applyFont="1" applyBorder="1" applyAlignment="1">
      <alignment/>
    </xf>
    <xf numFmtId="9" fontId="13" fillId="0" borderId="0" xfId="61" applyNumberFormat="1" applyFont="1" applyBorder="1" applyAlignment="1">
      <alignment/>
    </xf>
    <xf numFmtId="9" fontId="14" fillId="0" borderId="19" xfId="61" applyNumberFormat="1" applyFont="1" applyBorder="1" applyAlignment="1">
      <alignment horizontal="center"/>
    </xf>
    <xf numFmtId="9" fontId="13" fillId="25" borderId="118" xfId="61" applyNumberFormat="1" applyFont="1" applyFill="1" applyBorder="1" applyAlignment="1">
      <alignment/>
    </xf>
    <xf numFmtId="9" fontId="13" fillId="0" borderId="16" xfId="61" applyFont="1" applyBorder="1" applyAlignment="1">
      <alignment/>
    </xf>
    <xf numFmtId="0" fontId="0" fillId="0" borderId="0" xfId="0" applyAlignment="1">
      <alignment horizontal="center" wrapText="1"/>
    </xf>
    <xf numFmtId="0" fontId="18" fillId="7" borderId="70" xfId="0" applyFont="1" applyFill="1" applyBorder="1" applyAlignment="1">
      <alignment horizontal="center" wrapText="1"/>
    </xf>
    <xf numFmtId="9" fontId="14" fillId="7" borderId="70" xfId="61" applyNumberFormat="1" applyFont="1" applyFill="1" applyBorder="1" applyAlignment="1">
      <alignment horizontal="center"/>
    </xf>
    <xf numFmtId="9" fontId="14" fillId="7" borderId="72" xfId="61" applyNumberFormat="1" applyFont="1" applyFill="1" applyBorder="1" applyAlignment="1">
      <alignment horizontal="center"/>
    </xf>
    <xf numFmtId="9" fontId="13" fillId="7" borderId="72" xfId="61" applyNumberFormat="1" applyFont="1" applyFill="1" applyBorder="1" applyAlignment="1">
      <alignment/>
    </xf>
    <xf numFmtId="9" fontId="13" fillId="7" borderId="119" xfId="61" applyNumberFormat="1" applyFont="1" applyFill="1" applyBorder="1" applyAlignment="1">
      <alignment/>
    </xf>
    <xf numFmtId="9" fontId="13" fillId="7" borderId="71" xfId="61" applyNumberFormat="1" applyFont="1" applyFill="1" applyBorder="1" applyAlignment="1">
      <alignment/>
    </xf>
    <xf numFmtId="9" fontId="13" fillId="7" borderId="112" xfId="61" applyNumberFormat="1" applyFont="1" applyFill="1" applyBorder="1" applyAlignment="1">
      <alignment/>
    </xf>
    <xf numFmtId="0" fontId="18" fillId="25" borderId="120" xfId="0" applyFont="1" applyFill="1" applyBorder="1" applyAlignment="1">
      <alignment horizontal="center" wrapText="1"/>
    </xf>
    <xf numFmtId="9" fontId="14" fillId="25" borderId="120" xfId="61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1" fillId="16" borderId="48" xfId="0" applyFont="1" applyFill="1" applyBorder="1" applyAlignment="1">
      <alignment horizontal="center"/>
    </xf>
    <xf numFmtId="0" fontId="1" fillId="16" borderId="10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105" xfId="0" applyFont="1" applyFill="1" applyBorder="1" applyAlignment="1">
      <alignment horizontal="center"/>
    </xf>
    <xf numFmtId="188" fontId="14" fillId="7" borderId="50" xfId="0" applyNumberFormat="1" applyFont="1" applyFill="1" applyBorder="1" applyAlignment="1">
      <alignment/>
    </xf>
    <xf numFmtId="188" fontId="0" fillId="7" borderId="19" xfId="0" applyNumberFormat="1" applyFill="1" applyBorder="1" applyAlignment="1">
      <alignment/>
    </xf>
    <xf numFmtId="188" fontId="14" fillId="25" borderId="50" xfId="0" applyNumberFormat="1" applyFont="1" applyFill="1" applyBorder="1" applyAlignment="1">
      <alignment/>
    </xf>
    <xf numFmtId="188" fontId="0" fillId="25" borderId="19" xfId="0" applyNumberFormat="1" applyFill="1" applyBorder="1" applyAlignment="1">
      <alignment/>
    </xf>
    <xf numFmtId="188" fontId="0" fillId="7" borderId="0" xfId="0" applyNumberFormat="1" applyFill="1" applyBorder="1" applyAlignment="1">
      <alignment/>
    </xf>
    <xf numFmtId="188" fontId="0" fillId="7" borderId="51" xfId="0" applyNumberFormat="1" applyFill="1" applyBorder="1" applyAlignment="1">
      <alignment/>
    </xf>
    <xf numFmtId="188" fontId="0" fillId="25" borderId="51" xfId="0" applyNumberFormat="1" applyFill="1" applyBorder="1" applyAlignment="1">
      <alignment/>
    </xf>
    <xf numFmtId="189" fontId="1" fillId="0" borderId="0" xfId="61" applyNumberFormat="1" applyFont="1" applyAlignment="1">
      <alignment horizontal="center"/>
    </xf>
    <xf numFmtId="3" fontId="0" fillId="26" borderId="0" xfId="0" applyNumberFormat="1" applyFill="1" applyAlignment="1">
      <alignment horizontal="right"/>
    </xf>
    <xf numFmtId="189" fontId="0" fillId="26" borderId="0" xfId="0" applyNumberFormat="1" applyFill="1" applyAlignment="1">
      <alignment horizontal="center"/>
    </xf>
    <xf numFmtId="189" fontId="0" fillId="9" borderId="0" xfId="0" applyNumberFormat="1" applyFill="1" applyAlignment="1">
      <alignment horizontal="center"/>
    </xf>
    <xf numFmtId="188" fontId="14" fillId="25" borderId="0" xfId="0" applyNumberFormat="1" applyFont="1" applyFill="1" applyBorder="1" applyAlignment="1">
      <alignment/>
    </xf>
    <xf numFmtId="188" fontId="14" fillId="7" borderId="0" xfId="0" applyNumberFormat="1" applyFont="1" applyFill="1" applyBorder="1" applyAlignment="1">
      <alignment/>
    </xf>
    <xf numFmtId="188" fontId="1" fillId="0" borderId="51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188" fontId="0" fillId="0" borderId="37" xfId="0" applyNumberFormat="1" applyFill="1" applyBorder="1" applyAlignment="1">
      <alignment/>
    </xf>
    <xf numFmtId="188" fontId="0" fillId="0" borderId="52" xfId="0" applyNumberFormat="1" applyFill="1" applyBorder="1" applyAlignment="1">
      <alignment/>
    </xf>
    <xf numFmtId="188" fontId="14" fillId="0" borderId="50" xfId="0" applyNumberFormat="1" applyFont="1" applyFill="1" applyBorder="1" applyAlignment="1">
      <alignment/>
    </xf>
    <xf numFmtId="188" fontId="0" fillId="0" borderId="51" xfId="0" applyNumberFormat="1" applyFill="1" applyBorder="1" applyAlignment="1">
      <alignment/>
    </xf>
    <xf numFmtId="188" fontId="0" fillId="0" borderId="19" xfId="0" applyNumberFormat="1" applyFill="1" applyBorder="1" applyAlignment="1">
      <alignment/>
    </xf>
    <xf numFmtId="0" fontId="0" fillId="7" borderId="44" xfId="0" applyFill="1" applyBorder="1" applyAlignment="1">
      <alignment/>
    </xf>
    <xf numFmtId="9" fontId="13" fillId="0" borderId="64" xfId="61" applyFont="1" applyFill="1" applyBorder="1" applyAlignment="1">
      <alignment/>
    </xf>
    <xf numFmtId="9" fontId="13" fillId="0" borderId="12" xfId="61" applyFont="1" applyFill="1" applyBorder="1" applyAlignment="1">
      <alignment/>
    </xf>
    <xf numFmtId="9" fontId="13" fillId="0" borderId="0" xfId="61" applyFont="1" applyFill="1" applyBorder="1" applyAlignment="1">
      <alignment/>
    </xf>
    <xf numFmtId="0" fontId="1" fillId="16" borderId="38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3" fontId="0" fillId="22" borderId="0" xfId="0" applyNumberFormat="1" applyFill="1" applyAlignment="1">
      <alignment/>
    </xf>
    <xf numFmtId="189" fontId="0" fillId="22" borderId="0" xfId="0" applyNumberFormat="1" applyFill="1" applyAlignment="1">
      <alignment horizontal="center"/>
    </xf>
    <xf numFmtId="188" fontId="0" fillId="0" borderId="0" xfId="0" applyNumberFormat="1" applyAlignment="1">
      <alignment horizontal="center"/>
    </xf>
    <xf numFmtId="9" fontId="13" fillId="0" borderId="112" xfId="61" applyFont="1" applyFill="1" applyBorder="1" applyAlignment="1">
      <alignment horizontal="center"/>
    </xf>
    <xf numFmtId="9" fontId="13" fillId="7" borderId="113" xfId="6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" fillId="17" borderId="91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14" fillId="17" borderId="88" xfId="0" applyFont="1" applyFill="1" applyBorder="1" applyAlignment="1">
      <alignment horizontal="center"/>
    </xf>
    <xf numFmtId="0" fontId="14" fillId="17" borderId="30" xfId="0" applyFont="1" applyFill="1" applyBorder="1" applyAlignment="1">
      <alignment horizontal="center"/>
    </xf>
    <xf numFmtId="0" fontId="14" fillId="17" borderId="35" xfId="0" applyFont="1" applyFill="1" applyBorder="1" applyAlignment="1">
      <alignment horizontal="center"/>
    </xf>
    <xf numFmtId="0" fontId="14" fillId="17" borderId="121" xfId="0" applyFont="1" applyFill="1" applyBorder="1" applyAlignment="1">
      <alignment horizontal="center"/>
    </xf>
    <xf numFmtId="0" fontId="14" fillId="17" borderId="122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188" fontId="1" fillId="0" borderId="91" xfId="0" applyNumberFormat="1" applyFont="1" applyFill="1" applyBorder="1" applyAlignment="1">
      <alignment/>
    </xf>
    <xf numFmtId="188" fontId="0" fillId="0" borderId="36" xfId="0" applyNumberFormat="1" applyFont="1" applyFill="1" applyBorder="1" applyAlignment="1">
      <alignment/>
    </xf>
    <xf numFmtId="188" fontId="0" fillId="0" borderId="107" xfId="0" applyNumberFormat="1" applyFont="1" applyFill="1" applyBorder="1" applyAlignment="1">
      <alignment/>
    </xf>
    <xf numFmtId="188" fontId="0" fillId="0" borderId="91" xfId="0" applyNumberFormat="1" applyFont="1" applyFill="1" applyBorder="1" applyAlignment="1">
      <alignment/>
    </xf>
    <xf numFmtId="188" fontId="0" fillId="0" borderId="67" xfId="0" applyNumberFormat="1" applyFont="1" applyFill="1" applyBorder="1" applyAlignment="1">
      <alignment/>
    </xf>
    <xf numFmtId="188" fontId="0" fillId="0" borderId="106" xfId="0" applyNumberFormat="1" applyFont="1" applyFill="1" applyBorder="1" applyAlignment="1">
      <alignment/>
    </xf>
    <xf numFmtId="188" fontId="0" fillId="7" borderId="16" xfId="0" applyNumberFormat="1" applyFill="1" applyBorder="1" applyAlignment="1">
      <alignment/>
    </xf>
    <xf numFmtId="0" fontId="0" fillId="0" borderId="50" xfId="0" applyFill="1" applyBorder="1" applyAlignment="1">
      <alignment horizontal="center"/>
    </xf>
    <xf numFmtId="188" fontId="1" fillId="0" borderId="16" xfId="0" applyNumberFormat="1" applyFont="1" applyFill="1" applyBorder="1" applyAlignment="1">
      <alignment/>
    </xf>
    <xf numFmtId="188" fontId="0" fillId="0" borderId="16" xfId="0" applyNumberFormat="1" applyFill="1" applyBorder="1" applyAlignment="1">
      <alignment/>
    </xf>
    <xf numFmtId="188" fontId="0" fillId="0" borderId="19" xfId="0" applyNumberFormat="1" applyFill="1" applyBorder="1" applyAlignment="1">
      <alignment/>
    </xf>
    <xf numFmtId="9" fontId="14" fillId="7" borderId="123" xfId="61" applyNumberFormat="1" applyFont="1" applyFill="1" applyBorder="1" applyAlignment="1">
      <alignment horizontal="center"/>
    </xf>
    <xf numFmtId="9" fontId="14" fillId="0" borderId="71" xfId="61" applyFont="1" applyFill="1" applyBorder="1" applyAlignment="1">
      <alignment horizontal="center"/>
    </xf>
    <xf numFmtId="9" fontId="14" fillId="0" borderId="123" xfId="61" applyFont="1" applyFill="1" applyBorder="1" applyAlignment="1">
      <alignment horizontal="center"/>
    </xf>
    <xf numFmtId="9" fontId="13" fillId="0" borderId="72" xfId="61" applyFont="1" applyFill="1" applyBorder="1" applyAlignment="1">
      <alignment horizontal="center"/>
    </xf>
    <xf numFmtId="9" fontId="13" fillId="0" borderId="124" xfId="61" applyFont="1" applyFill="1" applyBorder="1" applyAlignment="1">
      <alignment horizontal="center"/>
    </xf>
    <xf numFmtId="9" fontId="14" fillId="7" borderId="73" xfId="61" applyFont="1" applyFill="1" applyBorder="1" applyAlignment="1">
      <alignment horizontal="center"/>
    </xf>
    <xf numFmtId="9" fontId="14" fillId="7" borderId="125" xfId="61" applyFont="1" applyFill="1" applyBorder="1" applyAlignment="1">
      <alignment horizontal="center"/>
    </xf>
    <xf numFmtId="9" fontId="13" fillId="7" borderId="126" xfId="61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0" xfId="0" applyFont="1" applyFill="1" applyBorder="1" applyAlignment="1">
      <alignment horizontal="center"/>
    </xf>
    <xf numFmtId="9" fontId="13" fillId="0" borderId="0" xfId="61" applyFont="1" applyBorder="1" applyAlignment="1">
      <alignment/>
    </xf>
    <xf numFmtId="0" fontId="1" fillId="17" borderId="58" xfId="0" applyFont="1" applyFill="1" applyBorder="1" applyAlignment="1">
      <alignment horizontal="center"/>
    </xf>
    <xf numFmtId="0" fontId="1" fillId="17" borderId="104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103" xfId="0" applyFont="1" applyFill="1" applyBorder="1" applyAlignment="1">
      <alignment horizontal="center"/>
    </xf>
    <xf numFmtId="0" fontId="1" fillId="17" borderId="105" xfId="0" applyFont="1" applyFill="1" applyBorder="1" applyAlignment="1">
      <alignment horizontal="center"/>
    </xf>
    <xf numFmtId="0" fontId="0" fillId="7" borderId="53" xfId="0" applyFont="1" applyFill="1" applyBorder="1" applyAlignment="1">
      <alignment horizontal="center"/>
    </xf>
    <xf numFmtId="188" fontId="1" fillId="7" borderId="16" xfId="0" applyNumberFormat="1" applyFont="1" applyFill="1" applyBorder="1" applyAlignment="1">
      <alignment/>
    </xf>
    <xf numFmtId="0" fontId="0" fillId="25" borderId="53" xfId="0" applyFont="1" applyFill="1" applyBorder="1" applyAlignment="1">
      <alignment horizontal="center"/>
    </xf>
    <xf numFmtId="188" fontId="1" fillId="25" borderId="16" xfId="0" applyNumberFormat="1" applyFont="1" applyFill="1" applyBorder="1" applyAlignment="1">
      <alignment/>
    </xf>
    <xf numFmtId="188" fontId="0" fillId="7" borderId="51" xfId="0" applyNumberFormat="1" applyFont="1" applyFill="1" applyBorder="1" applyAlignment="1">
      <alignment/>
    </xf>
    <xf numFmtId="188" fontId="0" fillId="7" borderId="0" xfId="0" applyNumberFormat="1" applyFont="1" applyFill="1" applyBorder="1" applyAlignment="1">
      <alignment/>
    </xf>
    <xf numFmtId="188" fontId="0" fillId="7" borderId="37" xfId="0" applyNumberFormat="1" applyFont="1" applyFill="1" applyBorder="1" applyAlignment="1">
      <alignment/>
    </xf>
    <xf numFmtId="188" fontId="0" fillId="7" borderId="19" xfId="0" applyNumberFormat="1" applyFont="1" applyFill="1" applyBorder="1" applyAlignment="1">
      <alignment/>
    </xf>
    <xf numFmtId="188" fontId="0" fillId="25" borderId="51" xfId="0" applyNumberFormat="1" applyFont="1" applyFill="1" applyBorder="1" applyAlignment="1">
      <alignment/>
    </xf>
    <xf numFmtId="188" fontId="0" fillId="25" borderId="0" xfId="0" applyNumberFormat="1" applyFont="1" applyFill="1" applyBorder="1" applyAlignment="1">
      <alignment/>
    </xf>
    <xf numFmtId="188" fontId="0" fillId="25" borderId="37" xfId="0" applyNumberFormat="1" applyFont="1" applyFill="1" applyBorder="1" applyAlignment="1">
      <alignment/>
    </xf>
    <xf numFmtId="188" fontId="0" fillId="25" borderId="19" xfId="0" applyNumberFormat="1" applyFont="1" applyFill="1" applyBorder="1" applyAlignment="1">
      <alignment/>
    </xf>
    <xf numFmtId="0" fontId="0" fillId="9" borderId="0" xfId="0" applyFill="1" applyAlignment="1">
      <alignment/>
    </xf>
    <xf numFmtId="189" fontId="14" fillId="0" borderId="0" xfId="0" applyNumberFormat="1" applyFont="1" applyAlignment="1">
      <alignment horizontal="center"/>
    </xf>
    <xf numFmtId="0" fontId="0" fillId="0" borderId="53" xfId="0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/>
    </xf>
    <xf numFmtId="188" fontId="1" fillId="0" borderId="65" xfId="0" applyNumberFormat="1" applyFont="1" applyFill="1" applyBorder="1" applyAlignment="1">
      <alignment/>
    </xf>
    <xf numFmtId="188" fontId="0" fillId="0" borderId="51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37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0" fontId="0" fillId="7" borderId="60" xfId="0" applyFill="1" applyBorder="1" applyAlignment="1">
      <alignment/>
    </xf>
    <xf numFmtId="9" fontId="14" fillId="0" borderId="114" xfId="61" applyFont="1" applyFill="1" applyBorder="1" applyAlignment="1">
      <alignment horizontal="center"/>
    </xf>
    <xf numFmtId="9" fontId="14" fillId="0" borderId="116" xfId="61" applyFont="1" applyFill="1" applyBorder="1" applyAlignment="1">
      <alignment horizontal="center"/>
    </xf>
    <xf numFmtId="9" fontId="13" fillId="0" borderId="114" xfId="61" applyFont="1" applyFill="1" applyBorder="1" applyAlignment="1">
      <alignment horizontal="center"/>
    </xf>
    <xf numFmtId="9" fontId="13" fillId="0" borderId="64" xfId="61" applyFont="1" applyFill="1" applyBorder="1" applyAlignment="1">
      <alignment horizontal="center"/>
    </xf>
    <xf numFmtId="9" fontId="13" fillId="0" borderId="127" xfId="61" applyFont="1" applyFill="1" applyBorder="1" applyAlignment="1">
      <alignment horizontal="center"/>
    </xf>
    <xf numFmtId="9" fontId="14" fillId="0" borderId="58" xfId="61" applyFont="1" applyFill="1" applyBorder="1" applyAlignment="1">
      <alignment horizontal="center"/>
    </xf>
    <xf numFmtId="9" fontId="14" fillId="0" borderId="128" xfId="61" applyFont="1" applyFill="1" applyBorder="1" applyAlignment="1">
      <alignment horizontal="center"/>
    </xf>
    <xf numFmtId="9" fontId="14" fillId="7" borderId="85" xfId="61" applyFont="1" applyFill="1" applyBorder="1" applyAlignment="1">
      <alignment horizontal="center"/>
    </xf>
    <xf numFmtId="189" fontId="14" fillId="7" borderId="118" xfId="61" applyNumberFormat="1" applyFont="1" applyFill="1" applyBorder="1" applyAlignment="1">
      <alignment horizontal="center"/>
    </xf>
    <xf numFmtId="9" fontId="13" fillId="7" borderId="85" xfId="61" applyFont="1" applyFill="1" applyBorder="1" applyAlignment="1">
      <alignment horizontal="center"/>
    </xf>
    <xf numFmtId="9" fontId="13" fillId="7" borderId="129" xfId="61" applyFont="1" applyFill="1" applyBorder="1" applyAlignment="1">
      <alignment horizontal="center"/>
    </xf>
    <xf numFmtId="9" fontId="14" fillId="0" borderId="53" xfId="61" applyFont="1" applyFill="1" applyBorder="1" applyAlignment="1">
      <alignment horizontal="center"/>
    </xf>
    <xf numFmtId="9" fontId="13" fillId="0" borderId="37" xfId="61" applyFont="1" applyFill="1" applyBorder="1" applyAlignment="1">
      <alignment/>
    </xf>
    <xf numFmtId="9" fontId="14" fillId="7" borderId="78" xfId="61" applyFont="1" applyFill="1" applyBorder="1" applyAlignment="1">
      <alignment horizontal="center"/>
    </xf>
    <xf numFmtId="9" fontId="14" fillId="0" borderId="112" xfId="61" applyFont="1" applyFill="1" applyBorder="1" applyAlignment="1">
      <alignment horizontal="center"/>
    </xf>
    <xf numFmtId="9" fontId="14" fillId="7" borderId="113" xfId="61" applyFont="1" applyFill="1" applyBorder="1" applyAlignment="1">
      <alignment horizontal="center"/>
    </xf>
    <xf numFmtId="9" fontId="13" fillId="7" borderId="62" xfId="61" applyFont="1" applyFill="1" applyBorder="1" applyAlignment="1">
      <alignment horizontal="center"/>
    </xf>
    <xf numFmtId="0" fontId="0" fillId="25" borderId="0" xfId="0" applyFill="1" applyAlignment="1">
      <alignment/>
    </xf>
    <xf numFmtId="188" fontId="1" fillId="7" borderId="50" xfId="0" applyNumberFormat="1" applyFont="1" applyFill="1" applyBorder="1" applyAlignment="1">
      <alignment/>
    </xf>
    <xf numFmtId="188" fontId="0" fillId="7" borderId="65" xfId="0" applyNumberFormat="1" applyFill="1" applyBorder="1" applyAlignment="1">
      <alignment/>
    </xf>
    <xf numFmtId="188" fontId="1" fillId="25" borderId="50" xfId="0" applyNumberFormat="1" applyFont="1" applyFill="1" applyBorder="1" applyAlignment="1">
      <alignment/>
    </xf>
    <xf numFmtId="188" fontId="0" fillId="25" borderId="65" xfId="0" applyNumberFormat="1" applyFill="1" applyBorder="1" applyAlignment="1">
      <alignment/>
    </xf>
    <xf numFmtId="188" fontId="0" fillId="7" borderId="65" xfId="0" applyNumberFormat="1" applyFill="1" applyBorder="1" applyAlignment="1">
      <alignment/>
    </xf>
    <xf numFmtId="188" fontId="0" fillId="25" borderId="65" xfId="0" applyNumberFormat="1" applyFill="1" applyBorder="1" applyAlignment="1">
      <alignment/>
    </xf>
    <xf numFmtId="189" fontId="13" fillId="0" borderId="0" xfId="0" applyNumberFormat="1" applyFont="1" applyAlignment="1">
      <alignment horizontal="center"/>
    </xf>
    <xf numFmtId="188" fontId="1" fillId="0" borderId="50" xfId="0" applyNumberFormat="1" applyFont="1" applyFill="1" applyBorder="1" applyAlignment="1">
      <alignment/>
    </xf>
    <xf numFmtId="188" fontId="0" fillId="0" borderId="65" xfId="0" applyNumberFormat="1" applyFill="1" applyBorder="1" applyAlignment="1">
      <alignment/>
    </xf>
    <xf numFmtId="188" fontId="0" fillId="0" borderId="0" xfId="0" applyNumberFormat="1" applyAlignment="1">
      <alignment horizontal="right"/>
    </xf>
    <xf numFmtId="0" fontId="0" fillId="22" borderId="0" xfId="0" applyFill="1" applyBorder="1" applyAlignment="1">
      <alignment/>
    </xf>
    <xf numFmtId="1" fontId="0" fillId="22" borderId="130" xfId="0" applyNumberFormat="1" applyFill="1" applyBorder="1" applyAlignment="1">
      <alignment/>
    </xf>
    <xf numFmtId="1" fontId="0" fillId="22" borderId="0" xfId="0" applyNumberFormat="1" applyFill="1" applyBorder="1" applyAlignment="1">
      <alignment/>
    </xf>
    <xf numFmtId="1" fontId="0" fillId="22" borderId="131" xfId="0" applyNumberFormat="1" applyFill="1" applyBorder="1" applyAlignment="1">
      <alignment/>
    </xf>
    <xf numFmtId="1" fontId="0" fillId="22" borderId="132" xfId="0" applyNumberFormat="1" applyFill="1" applyBorder="1" applyAlignment="1">
      <alignment/>
    </xf>
    <xf numFmtId="1" fontId="0" fillId="22" borderId="133" xfId="0" applyNumberFormat="1" applyFill="1" applyBorder="1" applyAlignment="1">
      <alignment/>
    </xf>
    <xf numFmtId="1" fontId="0" fillId="22" borderId="134" xfId="0" applyNumberFormat="1" applyFill="1" applyBorder="1" applyAlignment="1">
      <alignment/>
    </xf>
    <xf numFmtId="0" fontId="0" fillId="22" borderId="110" xfId="0" applyFill="1" applyBorder="1" applyAlignment="1">
      <alignment/>
    </xf>
    <xf numFmtId="0" fontId="0" fillId="22" borderId="135" xfId="0" applyFill="1" applyBorder="1" applyAlignment="1">
      <alignment/>
    </xf>
    <xf numFmtId="0" fontId="14" fillId="17" borderId="36" xfId="0" applyFont="1" applyFill="1" applyBorder="1" applyAlignment="1">
      <alignment horizontal="center"/>
    </xf>
    <xf numFmtId="0" fontId="14" fillId="17" borderId="107" xfId="0" applyFont="1" applyFill="1" applyBorder="1" applyAlignment="1">
      <alignment horizontal="center"/>
    </xf>
    <xf numFmtId="0" fontId="14" fillId="17" borderId="91" xfId="0" applyFont="1" applyFill="1" applyBorder="1" applyAlignment="1">
      <alignment horizontal="center"/>
    </xf>
    <xf numFmtId="0" fontId="14" fillId="17" borderId="92" xfId="0" applyFont="1" applyFill="1" applyBorder="1" applyAlignment="1">
      <alignment horizontal="center"/>
    </xf>
    <xf numFmtId="0" fontId="14" fillId="17" borderId="67" xfId="0" applyFont="1" applyFill="1" applyBorder="1" applyAlignment="1">
      <alignment horizontal="center"/>
    </xf>
    <xf numFmtId="0" fontId="14" fillId="17" borderId="106" xfId="0" applyFont="1" applyFill="1" applyBorder="1" applyAlignment="1">
      <alignment horizontal="center"/>
    </xf>
    <xf numFmtId="0" fontId="0" fillId="17" borderId="108" xfId="0" applyFont="1" applyFill="1" applyBorder="1" applyAlignment="1">
      <alignment horizontal="center"/>
    </xf>
    <xf numFmtId="188" fontId="1" fillId="17" borderId="86" xfId="0" applyNumberFormat="1" applyFont="1" applyFill="1" applyBorder="1" applyAlignment="1">
      <alignment/>
    </xf>
    <xf numFmtId="188" fontId="0" fillId="17" borderId="96" xfId="0" applyNumberFormat="1" applyFont="1" applyFill="1" applyBorder="1" applyAlignment="1">
      <alignment/>
    </xf>
    <xf numFmtId="188" fontId="0" fillId="17" borderId="110" xfId="0" applyNumberFormat="1" applyFont="1" applyFill="1" applyBorder="1" applyAlignment="1">
      <alignment/>
    </xf>
    <xf numFmtId="188" fontId="0" fillId="17" borderId="86" xfId="0" applyNumberFormat="1" applyFont="1" applyFill="1" applyBorder="1" applyAlignment="1">
      <alignment/>
    </xf>
    <xf numFmtId="188" fontId="0" fillId="17" borderId="76" xfId="0" applyNumberFormat="1" applyFont="1" applyFill="1" applyBorder="1" applyAlignment="1">
      <alignment/>
    </xf>
    <xf numFmtId="188" fontId="0" fillId="17" borderId="66" xfId="0" applyNumberFormat="1" applyFont="1" applyFill="1" applyBorder="1" applyAlignment="1">
      <alignment/>
    </xf>
    <xf numFmtId="188" fontId="0" fillId="17" borderId="109" xfId="0" applyNumberFormat="1" applyFont="1" applyFill="1" applyBorder="1" applyAlignment="1">
      <alignment/>
    </xf>
    <xf numFmtId="188" fontId="1" fillId="7" borderId="16" xfId="0" applyNumberFormat="1" applyFont="1" applyFill="1" applyBorder="1" applyAlignment="1">
      <alignment horizontal="center"/>
    </xf>
    <xf numFmtId="188" fontId="0" fillId="7" borderId="37" xfId="0" applyNumberFormat="1" applyFill="1" applyBorder="1" applyAlignment="1">
      <alignment horizontal="center"/>
    </xf>
    <xf numFmtId="188" fontId="0" fillId="7" borderId="0" xfId="0" applyNumberFormat="1" applyFill="1" applyBorder="1" applyAlignment="1">
      <alignment horizontal="center"/>
    </xf>
    <xf numFmtId="188" fontId="0" fillId="7" borderId="16" xfId="0" applyNumberFormat="1" applyFill="1" applyBorder="1" applyAlignment="1">
      <alignment horizontal="center"/>
    </xf>
    <xf numFmtId="188" fontId="0" fillId="7" borderId="65" xfId="0" applyNumberFormat="1" applyFill="1" applyBorder="1" applyAlignment="1">
      <alignment horizontal="center"/>
    </xf>
    <xf numFmtId="188" fontId="0" fillId="7" borderId="52" xfId="0" applyNumberFormat="1" applyFill="1" applyBorder="1" applyAlignment="1">
      <alignment horizontal="center"/>
    </xf>
    <xf numFmtId="188" fontId="1" fillId="25" borderId="16" xfId="0" applyNumberFormat="1" applyFont="1" applyFill="1" applyBorder="1" applyAlignment="1">
      <alignment horizontal="center"/>
    </xf>
    <xf numFmtId="188" fontId="0" fillId="25" borderId="37" xfId="0" applyNumberFormat="1" applyFill="1" applyBorder="1" applyAlignment="1">
      <alignment horizontal="center"/>
    </xf>
    <xf numFmtId="188" fontId="0" fillId="25" borderId="0" xfId="0" applyNumberFormat="1" applyFill="1" applyBorder="1" applyAlignment="1">
      <alignment horizontal="center"/>
    </xf>
    <xf numFmtId="188" fontId="0" fillId="25" borderId="16" xfId="0" applyNumberFormat="1" applyFill="1" applyBorder="1" applyAlignment="1">
      <alignment horizontal="center"/>
    </xf>
    <xf numFmtId="188" fontId="0" fillId="25" borderId="65" xfId="0" applyNumberFormat="1" applyFill="1" applyBorder="1" applyAlignment="1">
      <alignment horizontal="center"/>
    </xf>
    <xf numFmtId="188" fontId="0" fillId="25" borderId="52" xfId="0" applyNumberFormat="1" applyFill="1" applyBorder="1" applyAlignment="1">
      <alignment horizontal="center"/>
    </xf>
    <xf numFmtId="185" fontId="0" fillId="25" borderId="37" xfId="0" applyNumberFormat="1" applyFill="1" applyBorder="1" applyAlignment="1">
      <alignment horizontal="center"/>
    </xf>
    <xf numFmtId="185" fontId="0" fillId="7" borderId="37" xfId="0" applyNumberFormat="1" applyFill="1" applyBorder="1" applyAlignment="1">
      <alignment horizontal="center"/>
    </xf>
    <xf numFmtId="0" fontId="0" fillId="25" borderId="108" xfId="0" applyFill="1" applyBorder="1" applyAlignment="1">
      <alignment horizontal="center"/>
    </xf>
    <xf numFmtId="188" fontId="1" fillId="25" borderId="86" xfId="0" applyNumberFormat="1" applyFont="1" applyFill="1" applyBorder="1" applyAlignment="1">
      <alignment horizontal="center"/>
    </xf>
    <xf numFmtId="188" fontId="0" fillId="25" borderId="96" xfId="0" applyNumberFormat="1" applyFill="1" applyBorder="1" applyAlignment="1">
      <alignment horizontal="center"/>
    </xf>
    <xf numFmtId="188" fontId="0" fillId="25" borderId="110" xfId="0" applyNumberFormat="1" applyFill="1" applyBorder="1" applyAlignment="1">
      <alignment horizontal="center"/>
    </xf>
    <xf numFmtId="188" fontId="0" fillId="25" borderId="86" xfId="0" applyNumberFormat="1" applyFill="1" applyBorder="1" applyAlignment="1">
      <alignment horizontal="center"/>
    </xf>
    <xf numFmtId="188" fontId="0" fillId="25" borderId="59" xfId="0" applyNumberFormat="1" applyFill="1" applyBorder="1" applyAlignment="1">
      <alignment horizontal="center"/>
    </xf>
    <xf numFmtId="188" fontId="0" fillId="25" borderId="66" xfId="0" applyNumberFormat="1" applyFill="1" applyBorder="1" applyAlignment="1">
      <alignment horizontal="center"/>
    </xf>
    <xf numFmtId="188" fontId="0" fillId="25" borderId="109" xfId="0" applyNumberFormat="1" applyFill="1" applyBorder="1" applyAlignment="1">
      <alignment horizontal="center"/>
    </xf>
    <xf numFmtId="9" fontId="14" fillId="25" borderId="70" xfId="61" applyNumberFormat="1" applyFont="1" applyFill="1" applyBorder="1" applyAlignment="1">
      <alignment horizontal="center"/>
    </xf>
    <xf numFmtId="189" fontId="14" fillId="7" borderId="93" xfId="61" applyNumberFormat="1" applyFont="1" applyFill="1" applyBorder="1" applyAlignment="1">
      <alignment horizontal="center"/>
    </xf>
    <xf numFmtId="9" fontId="14" fillId="25" borderId="56" xfId="61" applyFont="1" applyFill="1" applyBorder="1" applyAlignment="1">
      <alignment horizontal="center"/>
    </xf>
    <xf numFmtId="9" fontId="14" fillId="25" borderId="136" xfId="61" applyFont="1" applyFill="1" applyBorder="1" applyAlignment="1">
      <alignment horizontal="center"/>
    </xf>
    <xf numFmtId="188" fontId="14" fillId="7" borderId="65" xfId="0" applyNumberFormat="1" applyFont="1" applyFill="1" applyBorder="1" applyAlignment="1">
      <alignment horizontal="center"/>
    </xf>
    <xf numFmtId="188" fontId="0" fillId="7" borderId="51" xfId="0" applyNumberFormat="1" applyFill="1" applyBorder="1" applyAlignment="1">
      <alignment horizontal="center"/>
    </xf>
    <xf numFmtId="188" fontId="14" fillId="25" borderId="65" xfId="0" applyNumberFormat="1" applyFont="1" applyFill="1" applyBorder="1" applyAlignment="1">
      <alignment horizontal="center"/>
    </xf>
    <xf numFmtId="188" fontId="0" fillId="25" borderId="51" xfId="0" applyNumberFormat="1" applyFill="1" applyBorder="1" applyAlignment="1">
      <alignment horizontal="center"/>
    </xf>
    <xf numFmtId="188" fontId="1" fillId="7" borderId="50" xfId="0" applyNumberFormat="1" applyFont="1" applyFill="1" applyBorder="1" applyAlignment="1">
      <alignment horizontal="center"/>
    </xf>
    <xf numFmtId="188" fontId="1" fillId="25" borderId="5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9" fontId="13" fillId="7" borderId="71" xfId="61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188" fontId="14" fillId="0" borderId="65" xfId="0" applyNumberFormat="1" applyFont="1" applyFill="1" applyBorder="1" applyAlignment="1">
      <alignment horizontal="center"/>
    </xf>
    <xf numFmtId="188" fontId="0" fillId="0" borderId="51" xfId="0" applyNumberForma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188" fontId="0" fillId="0" borderId="37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0" fontId="1" fillId="17" borderId="88" xfId="0" applyFont="1" applyFill="1" applyBorder="1" applyAlignment="1">
      <alignment horizontal="center" vertical="center"/>
    </xf>
    <xf numFmtId="0" fontId="1" fillId="17" borderId="8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/>
    </xf>
    <xf numFmtId="185" fontId="0" fillId="0" borderId="37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85" fontId="0" fillId="0" borderId="37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17" borderId="11" xfId="0" applyFont="1" applyFill="1" applyBorder="1" applyAlignment="1">
      <alignment horizontal="center"/>
    </xf>
    <xf numFmtId="0" fontId="1" fillId="17" borderId="1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40" fillId="0" borderId="0" xfId="0" applyFont="1" applyAlignment="1">
      <alignment/>
    </xf>
    <xf numFmtId="0" fontId="3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17" borderId="11" xfId="0" applyFont="1" applyFill="1" applyBorder="1" applyAlignment="1">
      <alignment/>
    </xf>
    <xf numFmtId="0" fontId="1" fillId="17" borderId="16" xfId="0" applyFont="1" applyFill="1" applyBorder="1" applyAlignment="1">
      <alignment horizontal="center" vertical="center"/>
    </xf>
    <xf numFmtId="0" fontId="23" fillId="17" borderId="16" xfId="0" applyFont="1" applyFill="1" applyBorder="1" applyAlignment="1">
      <alignment horizontal="center"/>
    </xf>
    <xf numFmtId="0" fontId="0" fillId="17" borderId="20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/>
    </xf>
    <xf numFmtId="0" fontId="0" fillId="25" borderId="50" xfId="0" applyFill="1" applyBorder="1" applyAlignment="1">
      <alignment horizontal="center" vertical="center"/>
    </xf>
    <xf numFmtId="188" fontId="0" fillId="25" borderId="16" xfId="0" applyNumberFormat="1" applyFill="1" applyBorder="1" applyAlignment="1">
      <alignment vertical="center"/>
    </xf>
    <xf numFmtId="188" fontId="0" fillId="25" borderId="52" xfId="0" applyNumberFormat="1" applyFill="1" applyBorder="1" applyAlignment="1">
      <alignment vertical="center"/>
    </xf>
    <xf numFmtId="188" fontId="0" fillId="25" borderId="50" xfId="0" applyNumberFormat="1" applyFill="1" applyBorder="1" applyAlignment="1">
      <alignment vertical="center"/>
    </xf>
    <xf numFmtId="188" fontId="0" fillId="25" borderId="16" xfId="0" applyNumberFormat="1" applyFill="1" applyBorder="1" applyAlignment="1">
      <alignment/>
    </xf>
    <xf numFmtId="188" fontId="23" fillId="25" borderId="50" xfId="0" applyNumberFormat="1" applyFont="1" applyFill="1" applyBorder="1" applyAlignment="1">
      <alignment/>
    </xf>
    <xf numFmtId="0" fontId="0" fillId="25" borderId="50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vertical="center"/>
    </xf>
    <xf numFmtId="188" fontId="0" fillId="0" borderId="52" xfId="0" applyNumberFormat="1" applyFill="1" applyBorder="1" applyAlignment="1">
      <alignment vertical="center"/>
    </xf>
    <xf numFmtId="188" fontId="0" fillId="0" borderId="50" xfId="0" applyNumberFormat="1" applyFill="1" applyBorder="1" applyAlignment="1">
      <alignment vertical="center"/>
    </xf>
    <xf numFmtId="188" fontId="23" fillId="0" borderId="5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4" fillId="0" borderId="0" xfId="0" applyFont="1" applyAlignment="1">
      <alignment horizontal="left"/>
    </xf>
    <xf numFmtId="0" fontId="0" fillId="16" borderId="11" xfId="0" applyFont="1" applyFill="1" applyBorder="1" applyAlignment="1">
      <alignment/>
    </xf>
    <xf numFmtId="0" fontId="1" fillId="16" borderId="16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56" xfId="0" applyFont="1" applyFill="1" applyBorder="1" applyAlignment="1">
      <alignment/>
    </xf>
    <xf numFmtId="193" fontId="0" fillId="0" borderId="0" xfId="0" applyNumberFormat="1" applyFill="1" applyAlignment="1">
      <alignment/>
    </xf>
    <xf numFmtId="0" fontId="2" fillId="0" borderId="13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7" borderId="1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2" fillId="16" borderId="140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2" fillId="0" borderId="120" xfId="0" applyFont="1" applyFill="1" applyBorder="1" applyAlignment="1">
      <alignment/>
    </xf>
    <xf numFmtId="9" fontId="0" fillId="0" borderId="0" xfId="61" applyFont="1" applyAlignment="1">
      <alignment horizontal="center"/>
    </xf>
    <xf numFmtId="189" fontId="0" fillId="0" borderId="0" xfId="61" applyNumberFormat="1" applyFont="1" applyAlignment="1">
      <alignment horizontal="center"/>
    </xf>
    <xf numFmtId="0" fontId="0" fillId="16" borderId="44" xfId="0" applyFill="1" applyBorder="1" applyAlignment="1">
      <alignment horizontal="center"/>
    </xf>
    <xf numFmtId="188" fontId="1" fillId="16" borderId="21" xfId="0" applyNumberFormat="1" applyFont="1" applyFill="1" applyBorder="1" applyAlignment="1" applyProtection="1">
      <alignment/>
      <protection locked="0"/>
    </xf>
    <xf numFmtId="188" fontId="0" fillId="16" borderId="61" xfId="0" applyNumberFormat="1" applyFill="1" applyBorder="1" applyAlignment="1" applyProtection="1">
      <alignment/>
      <protection locked="0"/>
    </xf>
    <xf numFmtId="185" fontId="0" fillId="16" borderId="62" xfId="0" applyNumberFormat="1" applyFill="1" applyBorder="1" applyAlignment="1" applyProtection="1">
      <alignment/>
      <protection locked="0"/>
    </xf>
    <xf numFmtId="188" fontId="0" fillId="16" borderId="45" xfId="0" applyNumberFormat="1" applyFill="1" applyBorder="1" applyAlignment="1" applyProtection="1">
      <alignment/>
      <protection locked="0"/>
    </xf>
    <xf numFmtId="188" fontId="0" fillId="16" borderId="62" xfId="0" applyNumberFormat="1" applyFill="1" applyBorder="1" applyAlignment="1">
      <alignment/>
    </xf>
    <xf numFmtId="188" fontId="0" fillId="16" borderId="61" xfId="0" applyNumberFormat="1" applyFill="1" applyBorder="1" applyAlignment="1">
      <alignment/>
    </xf>
    <xf numFmtId="185" fontId="0" fillId="16" borderId="62" xfId="0" applyNumberFormat="1" applyFill="1" applyBorder="1" applyAlignment="1">
      <alignment/>
    </xf>
    <xf numFmtId="188" fontId="0" fillId="16" borderId="45" xfId="0" applyNumberFormat="1" applyFill="1" applyBorder="1" applyAlignment="1">
      <alignment/>
    </xf>
    <xf numFmtId="188" fontId="0" fillId="16" borderId="60" xfId="0" applyNumberFormat="1" applyFont="1" applyFill="1" applyBorder="1" applyAlignment="1">
      <alignment/>
    </xf>
    <xf numFmtId="0" fontId="2" fillId="16" borderId="56" xfId="0" applyFont="1" applyFill="1" applyBorder="1" applyAlignment="1">
      <alignment/>
    </xf>
    <xf numFmtId="185" fontId="0" fillId="0" borderId="0" xfId="0" applyNumberFormat="1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Border="1" applyAlignment="1">
      <alignment horizontal="center"/>
    </xf>
    <xf numFmtId="185" fontId="0" fillId="16" borderId="0" xfId="0" applyNumberFormat="1" applyFill="1" applyBorder="1" applyAlignment="1">
      <alignment horizontal="center"/>
    </xf>
    <xf numFmtId="0" fontId="2" fillId="16" borderId="70" xfId="0" applyFont="1" applyFill="1" applyBorder="1" applyAlignment="1">
      <alignment horizontal="center" wrapText="1"/>
    </xf>
    <xf numFmtId="0" fontId="2" fillId="16" borderId="120" xfId="0" applyFont="1" applyFill="1" applyBorder="1" applyAlignment="1">
      <alignment horizontal="center" wrapText="1"/>
    </xf>
    <xf numFmtId="3" fontId="0" fillId="0" borderId="50" xfId="0" applyNumberFormat="1" applyFill="1" applyBorder="1" applyAlignment="1">
      <alignment horizontal="center"/>
    </xf>
    <xf numFmtId="197" fontId="0" fillId="25" borderId="16" xfId="0" applyNumberFormat="1" applyFont="1" applyFill="1" applyBorder="1" applyAlignment="1">
      <alignment horizontal="center"/>
    </xf>
    <xf numFmtId="197" fontId="0" fillId="7" borderId="16" xfId="0" applyNumberFormat="1" applyFont="1" applyFill="1" applyBorder="1" applyAlignment="1">
      <alignment horizontal="center"/>
    </xf>
    <xf numFmtId="197" fontId="0" fillId="7" borderId="50" xfId="0" applyNumberFormat="1" applyFont="1" applyFill="1" applyBorder="1" applyAlignment="1">
      <alignment horizontal="center"/>
    </xf>
    <xf numFmtId="197" fontId="0" fillId="25" borderId="50" xfId="0" applyNumberFormat="1" applyFont="1" applyFill="1" applyBorder="1" applyAlignment="1">
      <alignment horizontal="center"/>
    </xf>
    <xf numFmtId="197" fontId="0" fillId="0" borderId="50" xfId="0" applyNumberFormat="1" applyFill="1" applyBorder="1" applyAlignment="1">
      <alignment horizontal="center"/>
    </xf>
    <xf numFmtId="3" fontId="0" fillId="16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16" borderId="16" xfId="0" applyNumberFormat="1" applyFont="1" applyFill="1" applyBorder="1" applyAlignment="1">
      <alignment horizontal="center"/>
    </xf>
    <xf numFmtId="3" fontId="0" fillId="16" borderId="6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25" borderId="50" xfId="0" applyNumberFormat="1" applyFill="1" applyBorder="1" applyAlignment="1" applyProtection="1">
      <alignment horizontal="center"/>
      <protection locked="0"/>
    </xf>
    <xf numFmtId="3" fontId="0" fillId="16" borderId="50" xfId="0" applyNumberFormat="1" applyFill="1" applyBorder="1" applyAlignment="1" applyProtection="1">
      <alignment horizontal="center"/>
      <protection locked="0"/>
    </xf>
    <xf numFmtId="3" fontId="0" fillId="16" borderId="50" xfId="0" applyNumberFormat="1" applyFill="1" applyBorder="1" applyAlignment="1">
      <alignment horizontal="center"/>
    </xf>
    <xf numFmtId="3" fontId="0" fillId="25" borderId="50" xfId="0" applyNumberFormat="1" applyFont="1" applyFill="1" applyBorder="1" applyAlignment="1">
      <alignment horizontal="center"/>
    </xf>
    <xf numFmtId="3" fontId="0" fillId="16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197" fontId="0" fillId="16" borderId="50" xfId="0" applyNumberFormat="1" applyFont="1" applyFill="1" applyBorder="1" applyAlignment="1">
      <alignment horizontal="center"/>
    </xf>
    <xf numFmtId="197" fontId="0" fillId="0" borderId="50" xfId="0" applyNumberFormat="1" applyFont="1" applyFill="1" applyBorder="1" applyAlignment="1">
      <alignment horizontal="center"/>
    </xf>
    <xf numFmtId="0" fontId="1" fillId="17" borderId="26" xfId="0" applyFont="1" applyFill="1" applyBorder="1" applyAlignment="1">
      <alignment/>
    </xf>
    <xf numFmtId="3" fontId="1" fillId="17" borderId="141" xfId="0" applyNumberFormat="1" applyFont="1" applyFill="1" applyBorder="1" applyAlignment="1">
      <alignment/>
    </xf>
    <xf numFmtId="0" fontId="0" fillId="16" borderId="96" xfId="0" applyFill="1" applyBorder="1" applyAlignment="1">
      <alignment horizontal="center"/>
    </xf>
    <xf numFmtId="1" fontId="0" fillId="16" borderId="96" xfId="0" applyNumberForma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2" fillId="16" borderId="7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16" borderId="142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1" fontId="0" fillId="0" borderId="96" xfId="0" applyNumberFormat="1" applyFill="1" applyBorder="1" applyAlignment="1">
      <alignment horizontal="center"/>
    </xf>
    <xf numFmtId="0" fontId="42" fillId="0" borderId="0" xfId="0" applyFont="1" applyFill="1" applyAlignment="1">
      <alignment/>
    </xf>
    <xf numFmtId="0" fontId="2" fillId="0" borderId="142" xfId="0" applyFont="1" applyFill="1" applyBorder="1" applyAlignment="1">
      <alignment/>
    </xf>
    <xf numFmtId="0" fontId="1" fillId="17" borderId="143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1" fillId="17" borderId="144" xfId="0" applyFont="1" applyFill="1" applyBorder="1" applyAlignment="1">
      <alignment horizontal="center"/>
    </xf>
    <xf numFmtId="0" fontId="1" fillId="17" borderId="145" xfId="0" applyFont="1" applyFill="1" applyBorder="1" applyAlignment="1">
      <alignment horizontal="center"/>
    </xf>
    <xf numFmtId="0" fontId="14" fillId="17" borderId="51" xfId="0" applyFont="1" applyFill="1" applyBorder="1" applyAlignment="1">
      <alignment horizontal="center"/>
    </xf>
    <xf numFmtId="0" fontId="14" fillId="17" borderId="37" xfId="0" applyFont="1" applyFill="1" applyBorder="1" applyAlignment="1">
      <alignment horizontal="center"/>
    </xf>
    <xf numFmtId="0" fontId="14" fillId="17" borderId="52" xfId="0" applyFont="1" applyFill="1" applyBorder="1" applyAlignment="1">
      <alignment horizontal="center"/>
    </xf>
    <xf numFmtId="0" fontId="1" fillId="17" borderId="92" xfId="0" applyFont="1" applyFill="1" applyBorder="1" applyAlignment="1">
      <alignment horizontal="center"/>
    </xf>
    <xf numFmtId="0" fontId="14" fillId="17" borderId="111" xfId="0" applyFont="1" applyFill="1" applyBorder="1" applyAlignment="1">
      <alignment horizontal="center"/>
    </xf>
    <xf numFmtId="0" fontId="0" fillId="25" borderId="0" xfId="0" applyFill="1" applyBorder="1" applyAlignment="1">
      <alignment vertical="center"/>
    </xf>
    <xf numFmtId="0" fontId="0" fillId="17" borderId="86" xfId="0" applyFont="1" applyFill="1" applyBorder="1" applyAlignment="1">
      <alignment horizontal="center"/>
    </xf>
    <xf numFmtId="0" fontId="1" fillId="17" borderId="146" xfId="0" applyFont="1" applyFill="1" applyBorder="1" applyAlignment="1">
      <alignment horizontal="center"/>
    </xf>
    <xf numFmtId="0" fontId="0" fillId="17" borderId="147" xfId="0" applyFont="1" applyFill="1" applyBorder="1" applyAlignment="1">
      <alignment horizontal="center"/>
    </xf>
    <xf numFmtId="188" fontId="1" fillId="17" borderId="135" xfId="0" applyNumberFormat="1" applyFont="1" applyFill="1" applyBorder="1" applyAlignment="1">
      <alignment horizontal="center"/>
    </xf>
    <xf numFmtId="188" fontId="1" fillId="17" borderId="96" xfId="0" applyNumberFormat="1" applyFont="1" applyFill="1" applyBorder="1" applyAlignment="1">
      <alignment horizontal="center"/>
    </xf>
    <xf numFmtId="188" fontId="1" fillId="17" borderId="66" xfId="0" applyNumberFormat="1" applyFont="1" applyFill="1" applyBorder="1" applyAlignment="1">
      <alignment horizontal="center"/>
    </xf>
    <xf numFmtId="188" fontId="1" fillId="17" borderId="76" xfId="0" applyNumberFormat="1" applyFont="1" applyFill="1" applyBorder="1" applyAlignment="1">
      <alignment horizontal="center"/>
    </xf>
    <xf numFmtId="188" fontId="0" fillId="17" borderId="135" xfId="0" applyNumberFormat="1" applyFont="1" applyFill="1" applyBorder="1" applyAlignment="1">
      <alignment/>
    </xf>
    <xf numFmtId="0" fontId="0" fillId="27" borderId="91" xfId="0" applyFill="1" applyBorder="1" applyAlignment="1">
      <alignment horizontal="center"/>
    </xf>
    <xf numFmtId="188" fontId="0" fillId="27" borderId="148" xfId="0" applyNumberFormat="1" applyFill="1" applyBorder="1" applyAlignment="1">
      <alignment horizontal="center"/>
    </xf>
    <xf numFmtId="188" fontId="0" fillId="27" borderId="149" xfId="0" applyNumberFormat="1" applyFill="1" applyBorder="1" applyAlignment="1">
      <alignment horizontal="center"/>
    </xf>
    <xf numFmtId="188" fontId="0" fillId="27" borderId="107" xfId="0" applyNumberFormat="1" applyFill="1" applyBorder="1" applyAlignment="1">
      <alignment/>
    </xf>
    <xf numFmtId="188" fontId="0" fillId="27" borderId="36" xfId="0" applyNumberFormat="1" applyFill="1" applyBorder="1" applyAlignment="1">
      <alignment/>
    </xf>
    <xf numFmtId="188" fontId="0" fillId="27" borderId="106" xfId="0" applyNumberFormat="1" applyFill="1" applyBorder="1" applyAlignment="1">
      <alignment/>
    </xf>
    <xf numFmtId="188" fontId="0" fillId="27" borderId="92" xfId="0" applyNumberFormat="1" applyFill="1" applyBorder="1" applyAlignment="1">
      <alignment/>
    </xf>
    <xf numFmtId="188" fontId="0" fillId="27" borderId="67" xfId="0" applyNumberFormat="1" applyFill="1" applyBorder="1" applyAlignment="1">
      <alignment/>
    </xf>
    <xf numFmtId="188" fontId="0" fillId="27" borderId="111" xfId="0" applyNumberFormat="1" applyFill="1" applyBorder="1" applyAlignment="1">
      <alignment/>
    </xf>
    <xf numFmtId="185" fontId="0" fillId="25" borderId="53" xfId="0" applyNumberFormat="1" applyFont="1" applyFill="1" applyBorder="1" applyAlignment="1">
      <alignment/>
    </xf>
    <xf numFmtId="0" fontId="0" fillId="28" borderId="16" xfId="0" applyFill="1" applyBorder="1" applyAlignment="1">
      <alignment horizontal="center"/>
    </xf>
    <xf numFmtId="188" fontId="0" fillId="28" borderId="144" xfId="0" applyNumberFormat="1" applyFill="1" applyBorder="1" applyAlignment="1">
      <alignment horizontal="center"/>
    </xf>
    <xf numFmtId="188" fontId="0" fillId="28" borderId="145" xfId="0" applyNumberFormat="1" applyFill="1" applyBorder="1" applyAlignment="1">
      <alignment horizontal="center"/>
    </xf>
    <xf numFmtId="188" fontId="0" fillId="28" borderId="0" xfId="0" applyNumberFormat="1" applyFill="1" applyBorder="1" applyAlignment="1">
      <alignment/>
    </xf>
    <xf numFmtId="188" fontId="0" fillId="28" borderId="37" xfId="0" applyNumberFormat="1" applyFill="1" applyBorder="1" applyAlignment="1">
      <alignment/>
    </xf>
    <xf numFmtId="188" fontId="0" fillId="28" borderId="19" xfId="0" applyNumberFormat="1" applyFill="1" applyBorder="1" applyAlignment="1">
      <alignment/>
    </xf>
    <xf numFmtId="188" fontId="0" fillId="28" borderId="65" xfId="0" applyNumberFormat="1" applyFill="1" applyBorder="1" applyAlignment="1">
      <alignment/>
    </xf>
    <xf numFmtId="188" fontId="0" fillId="28" borderId="52" xfId="0" applyNumberFormat="1" applyFill="1" applyBorder="1" applyAlignment="1">
      <alignment/>
    </xf>
    <xf numFmtId="188" fontId="0" fillId="28" borderId="51" xfId="0" applyNumberFormat="1" applyFill="1" applyBorder="1" applyAlignment="1">
      <alignment/>
    </xf>
    <xf numFmtId="185" fontId="0" fillId="7" borderId="53" xfId="0" applyNumberFormat="1" applyFont="1" applyFill="1" applyBorder="1" applyAlignment="1">
      <alignment/>
    </xf>
    <xf numFmtId="0" fontId="0" fillId="27" borderId="16" xfId="0" applyFill="1" applyBorder="1" applyAlignment="1">
      <alignment horizontal="center"/>
    </xf>
    <xf numFmtId="188" fontId="0" fillId="27" borderId="144" xfId="0" applyNumberFormat="1" applyFill="1" applyBorder="1" applyAlignment="1">
      <alignment horizontal="center"/>
    </xf>
    <xf numFmtId="188" fontId="0" fillId="27" borderId="145" xfId="0" applyNumberFormat="1" applyFill="1" applyBorder="1" applyAlignment="1">
      <alignment horizontal="center"/>
    </xf>
    <xf numFmtId="188" fontId="0" fillId="27" borderId="0" xfId="0" applyNumberFormat="1" applyFill="1" applyBorder="1" applyAlignment="1">
      <alignment/>
    </xf>
    <xf numFmtId="188" fontId="0" fillId="27" borderId="37" xfId="0" applyNumberFormat="1" applyFill="1" applyBorder="1" applyAlignment="1">
      <alignment/>
    </xf>
    <xf numFmtId="188" fontId="0" fillId="27" borderId="19" xfId="0" applyNumberFormat="1" applyFill="1" applyBorder="1" applyAlignment="1">
      <alignment/>
    </xf>
    <xf numFmtId="188" fontId="0" fillId="27" borderId="65" xfId="0" applyNumberFormat="1" applyFill="1" applyBorder="1" applyAlignment="1">
      <alignment/>
    </xf>
    <xf numFmtId="188" fontId="0" fillId="27" borderId="52" xfId="0" applyNumberFormat="1" applyFill="1" applyBorder="1" applyAlignment="1">
      <alignment/>
    </xf>
    <xf numFmtId="188" fontId="0" fillId="27" borderId="51" xfId="0" applyNumberFormat="1" applyFill="1" applyBorder="1" applyAlignment="1">
      <alignment/>
    </xf>
    <xf numFmtId="185" fontId="0" fillId="25" borderId="0" xfId="0" applyNumberFormat="1" applyFill="1" applyAlignment="1">
      <alignment/>
    </xf>
    <xf numFmtId="185" fontId="0" fillId="27" borderId="37" xfId="0" applyNumberFormat="1" applyFill="1" applyBorder="1" applyAlignment="1">
      <alignment/>
    </xf>
    <xf numFmtId="185" fontId="0" fillId="28" borderId="37" xfId="0" applyNumberFormat="1" applyFill="1" applyBorder="1" applyAlignment="1">
      <alignment/>
    </xf>
    <xf numFmtId="0" fontId="1" fillId="27" borderId="16" xfId="0" applyFont="1" applyFill="1" applyBorder="1" applyAlignment="1">
      <alignment horizontal="center"/>
    </xf>
    <xf numFmtId="188" fontId="1" fillId="27" borderId="144" xfId="0" applyNumberFormat="1" applyFont="1" applyFill="1" applyBorder="1" applyAlignment="1">
      <alignment horizontal="center"/>
    </xf>
    <xf numFmtId="188" fontId="1" fillId="27" borderId="145" xfId="0" applyNumberFormat="1" applyFont="1" applyFill="1" applyBorder="1" applyAlignment="1">
      <alignment horizontal="center"/>
    </xf>
    <xf numFmtId="188" fontId="1" fillId="27" borderId="0" xfId="0" applyNumberFormat="1" applyFont="1" applyFill="1" applyBorder="1" applyAlignment="1">
      <alignment/>
    </xf>
    <xf numFmtId="188" fontId="1" fillId="27" borderId="37" xfId="0" applyNumberFormat="1" applyFont="1" applyFill="1" applyBorder="1" applyAlignment="1">
      <alignment/>
    </xf>
    <xf numFmtId="188" fontId="1" fillId="27" borderId="65" xfId="0" applyNumberFormat="1" applyFont="1" applyFill="1" applyBorder="1" applyAlignment="1">
      <alignment/>
    </xf>
    <xf numFmtId="185" fontId="1" fillId="27" borderId="37" xfId="0" applyNumberFormat="1" applyFont="1" applyFill="1" applyBorder="1" applyAlignment="1">
      <alignment/>
    </xf>
    <xf numFmtId="188" fontId="1" fillId="27" borderId="51" xfId="0" applyNumberFormat="1" applyFont="1" applyFill="1" applyBorder="1" applyAlignment="1">
      <alignment/>
    </xf>
    <xf numFmtId="185" fontId="1" fillId="25" borderId="53" xfId="0" applyNumberFormat="1" applyFont="1" applyFill="1" applyBorder="1" applyAlignment="1">
      <alignment/>
    </xf>
    <xf numFmtId="0" fontId="1" fillId="28" borderId="16" xfId="0" applyFont="1" applyFill="1" applyBorder="1" applyAlignment="1">
      <alignment horizontal="center"/>
    </xf>
    <xf numFmtId="188" fontId="1" fillId="28" borderId="144" xfId="0" applyNumberFormat="1" applyFont="1" applyFill="1" applyBorder="1" applyAlignment="1">
      <alignment horizontal="center"/>
    </xf>
    <xf numFmtId="188" fontId="1" fillId="28" borderId="145" xfId="0" applyNumberFormat="1" applyFont="1" applyFill="1" applyBorder="1" applyAlignment="1">
      <alignment horizontal="center"/>
    </xf>
    <xf numFmtId="188" fontId="1" fillId="28" borderId="0" xfId="0" applyNumberFormat="1" applyFont="1" applyFill="1" applyBorder="1" applyAlignment="1">
      <alignment/>
    </xf>
    <xf numFmtId="188" fontId="1" fillId="28" borderId="37" xfId="0" applyNumberFormat="1" applyFont="1" applyFill="1" applyBorder="1" applyAlignment="1">
      <alignment/>
    </xf>
    <xf numFmtId="188" fontId="1" fillId="28" borderId="65" xfId="0" applyNumberFormat="1" applyFont="1" applyFill="1" applyBorder="1" applyAlignment="1">
      <alignment/>
    </xf>
    <xf numFmtId="185" fontId="1" fillId="28" borderId="37" xfId="0" applyNumberFormat="1" applyFont="1" applyFill="1" applyBorder="1" applyAlignment="1">
      <alignment/>
    </xf>
    <xf numFmtId="188" fontId="1" fillId="28" borderId="51" xfId="0" applyNumberFormat="1" applyFont="1" applyFill="1" applyBorder="1" applyAlignment="1">
      <alignment/>
    </xf>
    <xf numFmtId="185" fontId="1" fillId="7" borderId="5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93" fontId="1" fillId="0" borderId="0" xfId="0" applyNumberFormat="1" applyFont="1" applyAlignment="1">
      <alignment/>
    </xf>
    <xf numFmtId="0" fontId="0" fillId="25" borderId="20" xfId="0" applyFill="1" applyBorder="1" applyAlignment="1">
      <alignment horizontal="center"/>
    </xf>
    <xf numFmtId="188" fontId="0" fillId="27" borderId="150" xfId="0" applyNumberFormat="1" applyFill="1" applyBorder="1" applyAlignment="1">
      <alignment horizontal="center"/>
    </xf>
    <xf numFmtId="188" fontId="0" fillId="27" borderId="151" xfId="0" applyNumberFormat="1" applyFill="1" applyBorder="1" applyAlignment="1">
      <alignment horizontal="center"/>
    </xf>
    <xf numFmtId="188" fontId="0" fillId="27" borderId="21" xfId="0" applyNumberFormat="1" applyFill="1" applyBorder="1" applyAlignment="1">
      <alignment/>
    </xf>
    <xf numFmtId="188" fontId="0" fillId="27" borderId="62" xfId="0" applyNumberFormat="1" applyFill="1" applyBorder="1" applyAlignment="1">
      <alignment/>
    </xf>
    <xf numFmtId="188" fontId="0" fillId="27" borderId="59" xfId="0" applyNumberFormat="1" applyFill="1" applyBorder="1" applyAlignment="1">
      <alignment/>
    </xf>
    <xf numFmtId="188" fontId="0" fillId="25" borderId="21" xfId="0" applyNumberFormat="1" applyFill="1" applyBorder="1" applyAlignment="1">
      <alignment/>
    </xf>
    <xf numFmtId="188" fontId="0" fillId="25" borderId="62" xfId="0" applyNumberFormat="1" applyFill="1" applyBorder="1" applyAlignment="1">
      <alignment/>
    </xf>
    <xf numFmtId="185" fontId="0" fillId="25" borderId="62" xfId="0" applyNumberFormat="1" applyFill="1" applyBorder="1" applyAlignment="1">
      <alignment/>
    </xf>
    <xf numFmtId="188" fontId="0" fillId="25" borderId="45" xfId="0" applyNumberFormat="1" applyFill="1" applyBorder="1" applyAlignment="1">
      <alignment/>
    </xf>
    <xf numFmtId="185" fontId="0" fillId="25" borderId="60" xfId="0" applyNumberFormat="1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25" borderId="70" xfId="0" applyFont="1" applyFill="1" applyBorder="1" applyAlignment="1">
      <alignment/>
    </xf>
    <xf numFmtId="0" fontId="2" fillId="25" borderId="120" xfId="0" applyFont="1" applyFill="1" applyBorder="1" applyAlignment="1">
      <alignment/>
    </xf>
    <xf numFmtId="9" fontId="13" fillId="25" borderId="62" xfId="61" applyFont="1" applyFill="1" applyBorder="1" applyAlignment="1">
      <alignment horizontal="center"/>
    </xf>
    <xf numFmtId="0" fontId="2" fillId="25" borderId="54" xfId="0" applyFont="1" applyFill="1" applyBorder="1" applyAlignment="1">
      <alignment/>
    </xf>
    <xf numFmtId="9" fontId="14" fillId="25" borderId="68" xfId="61" applyNumberFormat="1" applyFont="1" applyFill="1" applyBorder="1" applyAlignment="1">
      <alignment horizontal="center"/>
    </xf>
    <xf numFmtId="0" fontId="2" fillId="25" borderId="55" xfId="0" applyFont="1" applyFill="1" applyBorder="1" applyAlignment="1">
      <alignment/>
    </xf>
    <xf numFmtId="185" fontId="0" fillId="25" borderId="0" xfId="0" applyNumberFormat="1" applyFill="1" applyBorder="1" applyAlignment="1">
      <alignment/>
    </xf>
    <xf numFmtId="10" fontId="0" fillId="0" borderId="0" xfId="61" applyNumberFormat="1" applyFont="1" applyAlignment="1">
      <alignment/>
    </xf>
    <xf numFmtId="3" fontId="0" fillId="25" borderId="0" xfId="0" applyNumberForma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14" fillId="0" borderId="59" xfId="0" applyNumberFormat="1" applyFont="1" applyFill="1" applyBorder="1" applyAlignment="1">
      <alignment horizontal="center"/>
    </xf>
    <xf numFmtId="3" fontId="0" fillId="0" borderId="61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9" fontId="14" fillId="7" borderId="68" xfId="6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wrapText="1"/>
    </xf>
    <xf numFmtId="0" fontId="18" fillId="7" borderId="93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36" fillId="16" borderId="0" xfId="0" applyFont="1" applyFill="1" applyBorder="1" applyAlignment="1">
      <alignment horizontal="center"/>
    </xf>
    <xf numFmtId="4" fontId="1" fillId="7" borderId="51" xfId="0" applyNumberFormat="1" applyFont="1" applyFill="1" applyBorder="1" applyAlignment="1">
      <alignment/>
    </xf>
    <xf numFmtId="4" fontId="14" fillId="7" borderId="37" xfId="0" applyNumberFormat="1" applyFont="1" applyFill="1" applyBorder="1" applyAlignment="1">
      <alignment/>
    </xf>
    <xf numFmtId="4" fontId="0" fillId="7" borderId="66" xfId="0" applyNumberFormat="1" applyFill="1" applyBorder="1" applyAlignment="1">
      <alignment/>
    </xf>
    <xf numFmtId="4" fontId="14" fillId="7" borderId="65" xfId="0" applyNumberFormat="1" applyFont="1" applyFill="1" applyBorder="1" applyAlignment="1">
      <alignment/>
    </xf>
    <xf numFmtId="4" fontId="0" fillId="7" borderId="53" xfId="0" applyNumberFormat="1" applyFill="1" applyBorder="1" applyAlignment="1">
      <alignment/>
    </xf>
    <xf numFmtId="4" fontId="0" fillId="7" borderId="0" xfId="0" applyNumberFormat="1" applyFill="1" applyBorder="1" applyAlignment="1">
      <alignment/>
    </xf>
    <xf numFmtId="10" fontId="0" fillId="7" borderId="0" xfId="0" applyNumberFormat="1" applyFill="1" applyAlignment="1">
      <alignment/>
    </xf>
    <xf numFmtId="0" fontId="0" fillId="25" borderId="0" xfId="0" applyFill="1" applyAlignment="1">
      <alignment horizontal="right"/>
    </xf>
    <xf numFmtId="10" fontId="0" fillId="25" borderId="0" xfId="0" applyNumberFormat="1" applyFill="1" applyAlignment="1">
      <alignment/>
    </xf>
    <xf numFmtId="183" fontId="0" fillId="25" borderId="0" xfId="0" applyNumberFormat="1" applyFill="1" applyAlignment="1">
      <alignment/>
    </xf>
    <xf numFmtId="184" fontId="0" fillId="25" borderId="0" xfId="0" applyNumberFormat="1" applyFill="1" applyAlignment="1">
      <alignment/>
    </xf>
    <xf numFmtId="0" fontId="0" fillId="7" borderId="45" xfId="0" applyFill="1" applyBorder="1" applyAlignment="1">
      <alignment/>
    </xf>
    <xf numFmtId="0" fontId="0" fillId="7" borderId="62" xfId="0" applyFill="1" applyBorder="1" applyAlignment="1">
      <alignment/>
    </xf>
    <xf numFmtId="0" fontId="0" fillId="7" borderId="61" xfId="0" applyFill="1" applyBorder="1" applyAlignment="1">
      <alignment/>
    </xf>
    <xf numFmtId="0" fontId="0" fillId="7" borderId="59" xfId="0" applyFill="1" applyBorder="1" applyAlignment="1">
      <alignment/>
    </xf>
    <xf numFmtId="0" fontId="0" fillId="0" borderId="0" xfId="61" applyNumberFormat="1" applyFont="1" applyFill="1" applyAlignment="1">
      <alignment horizontal="center"/>
    </xf>
    <xf numFmtId="0" fontId="18" fillId="25" borderId="54" xfId="0" applyFont="1" applyFill="1" applyBorder="1" applyAlignment="1">
      <alignment horizontal="center" wrapText="1"/>
    </xf>
    <xf numFmtId="9" fontId="14" fillId="25" borderId="114" xfId="61" applyNumberFormat="1" applyFont="1" applyFill="1" applyBorder="1" applyAlignment="1">
      <alignment horizontal="center"/>
    </xf>
    <xf numFmtId="9" fontId="13" fillId="25" borderId="68" xfId="61" applyNumberFormat="1" applyFont="1" applyFill="1" applyBorder="1" applyAlignment="1">
      <alignment/>
    </xf>
    <xf numFmtId="9" fontId="13" fillId="25" borderId="115" xfId="61" applyNumberFormat="1" applyFont="1" applyFill="1" applyBorder="1" applyAlignment="1">
      <alignment/>
    </xf>
    <xf numFmtId="9" fontId="13" fillId="25" borderId="116" xfId="61" applyNumberFormat="1" applyFont="1" applyFill="1" applyBorder="1" applyAlignment="1">
      <alignment/>
    </xf>
    <xf numFmtId="9" fontId="13" fillId="25" borderId="114" xfId="61" applyNumberFormat="1" applyFont="1" applyFill="1" applyBorder="1" applyAlignment="1">
      <alignment/>
    </xf>
    <xf numFmtId="0" fontId="18" fillId="25" borderId="70" xfId="0" applyFont="1" applyFill="1" applyBorder="1" applyAlignment="1">
      <alignment horizontal="center" wrapText="1"/>
    </xf>
    <xf numFmtId="9" fontId="13" fillId="25" borderId="72" xfId="61" applyNumberFormat="1" applyFont="1" applyFill="1" applyBorder="1" applyAlignment="1">
      <alignment/>
    </xf>
    <xf numFmtId="9" fontId="13" fillId="25" borderId="119" xfId="61" applyNumberFormat="1" applyFont="1" applyFill="1" applyBorder="1" applyAlignment="1">
      <alignment/>
    </xf>
    <xf numFmtId="9" fontId="13" fillId="25" borderId="71" xfId="61" applyNumberFormat="1" applyFont="1" applyFill="1" applyBorder="1" applyAlignment="1">
      <alignment/>
    </xf>
    <xf numFmtId="9" fontId="13" fillId="25" borderId="112" xfId="61" applyNumberFormat="1" applyFont="1" applyFill="1" applyBorder="1" applyAlignment="1">
      <alignment/>
    </xf>
    <xf numFmtId="0" fontId="18" fillId="7" borderId="120" xfId="0" applyFont="1" applyFill="1" applyBorder="1" applyAlignment="1">
      <alignment horizontal="center" wrapText="1"/>
    </xf>
    <xf numFmtId="9" fontId="14" fillId="7" borderId="120" xfId="61" applyNumberFormat="1" applyFont="1" applyFill="1" applyBorder="1" applyAlignment="1">
      <alignment horizontal="center"/>
    </xf>
    <xf numFmtId="9" fontId="14" fillId="7" borderId="94" xfId="61" applyNumberFormat="1" applyFont="1" applyFill="1" applyBorder="1" applyAlignment="1">
      <alignment horizontal="center"/>
    </xf>
    <xf numFmtId="9" fontId="13" fillId="7" borderId="94" xfId="61" applyNumberFormat="1" applyFont="1" applyFill="1" applyBorder="1" applyAlignment="1">
      <alignment/>
    </xf>
    <xf numFmtId="9" fontId="13" fillId="7" borderId="152" xfId="61" applyNumberFormat="1" applyFont="1" applyFill="1" applyBorder="1" applyAlignment="1">
      <alignment/>
    </xf>
    <xf numFmtId="9" fontId="13" fillId="7" borderId="73" xfId="61" applyNumberFormat="1" applyFont="1" applyFill="1" applyBorder="1" applyAlignment="1">
      <alignment/>
    </xf>
    <xf numFmtId="9" fontId="13" fillId="7" borderId="113" xfId="61" applyNumberFormat="1" applyFont="1" applyFill="1" applyBorder="1" applyAlignment="1">
      <alignment/>
    </xf>
    <xf numFmtId="189" fontId="0" fillId="0" borderId="0" xfId="61" applyNumberFormat="1" applyFont="1" applyAlignment="1">
      <alignment/>
    </xf>
    <xf numFmtId="188" fontId="1" fillId="25" borderId="45" xfId="0" applyNumberFormat="1" applyFont="1" applyFill="1" applyBorder="1" applyAlignment="1">
      <alignment/>
    </xf>
    <xf numFmtId="188" fontId="14" fillId="25" borderId="21" xfId="0" applyNumberFormat="1" applyFont="1" applyFill="1" applyBorder="1" applyAlignment="1">
      <alignment/>
    </xf>
    <xf numFmtId="188" fontId="0" fillId="25" borderId="62" xfId="0" applyNumberFormat="1" applyFill="1" applyBorder="1" applyAlignment="1">
      <alignment/>
    </xf>
    <xf numFmtId="188" fontId="0" fillId="25" borderId="21" xfId="0" applyNumberFormat="1" applyFill="1" applyBorder="1" applyAlignment="1">
      <alignment/>
    </xf>
    <xf numFmtId="188" fontId="0" fillId="25" borderId="61" xfId="0" applyNumberFormat="1" applyFill="1" applyBorder="1" applyAlignment="1">
      <alignment/>
    </xf>
    <xf numFmtId="188" fontId="14" fillId="25" borderId="44" xfId="0" applyNumberFormat="1" applyFont="1" applyFill="1" applyBorder="1" applyAlignment="1">
      <alignment/>
    </xf>
    <xf numFmtId="188" fontId="0" fillId="25" borderId="24" xfId="0" applyNumberFormat="1" applyFill="1" applyBorder="1" applyAlignment="1">
      <alignment/>
    </xf>
    <xf numFmtId="9" fontId="13" fillId="7" borderId="114" xfId="61" applyFont="1" applyFill="1" applyBorder="1" applyAlignment="1">
      <alignment/>
    </xf>
    <xf numFmtId="9" fontId="13" fillId="7" borderId="64" xfId="61" applyFont="1" applyFill="1" applyBorder="1" applyAlignment="1">
      <alignment/>
    </xf>
    <xf numFmtId="189" fontId="13" fillId="7" borderId="68" xfId="61" applyNumberFormat="1" applyFont="1" applyFill="1" applyBorder="1" applyAlignment="1">
      <alignment/>
    </xf>
    <xf numFmtId="9" fontId="14" fillId="7" borderId="54" xfId="61" applyFont="1" applyFill="1" applyBorder="1" applyAlignment="1">
      <alignment horizontal="center"/>
    </xf>
    <xf numFmtId="9" fontId="13" fillId="25" borderId="85" xfId="61" applyFont="1" applyFill="1" applyBorder="1" applyAlignment="1">
      <alignment/>
    </xf>
    <xf numFmtId="9" fontId="13" fillId="25" borderId="72" xfId="61" applyFont="1" applyFill="1" applyBorder="1" applyAlignment="1">
      <alignment/>
    </xf>
    <xf numFmtId="189" fontId="13" fillId="25" borderId="69" xfId="61" applyNumberFormat="1" applyFont="1" applyFill="1" applyBorder="1" applyAlignment="1">
      <alignment/>
    </xf>
    <xf numFmtId="9" fontId="14" fillId="25" borderId="55" xfId="61" applyFont="1" applyFill="1" applyBorder="1" applyAlignment="1">
      <alignment horizontal="center"/>
    </xf>
    <xf numFmtId="9" fontId="13" fillId="7" borderId="112" xfId="61" applyFont="1" applyFill="1" applyBorder="1" applyAlignment="1">
      <alignment/>
    </xf>
    <xf numFmtId="9" fontId="14" fillId="7" borderId="93" xfId="61" applyFont="1" applyFill="1" applyBorder="1" applyAlignment="1">
      <alignment horizontal="center"/>
    </xf>
    <xf numFmtId="9" fontId="13" fillId="7" borderId="71" xfId="61" applyFont="1" applyFill="1" applyBorder="1" applyAlignment="1">
      <alignment/>
    </xf>
    <xf numFmtId="9" fontId="13" fillId="7" borderId="119" xfId="61" applyFont="1" applyFill="1" applyBorder="1" applyAlignment="1">
      <alignment/>
    </xf>
    <xf numFmtId="9" fontId="13" fillId="25" borderId="113" xfId="61" applyFont="1" applyFill="1" applyBorder="1" applyAlignment="1">
      <alignment/>
    </xf>
    <xf numFmtId="9" fontId="13" fillId="25" borderId="62" xfId="61" applyFont="1" applyFill="1" applyBorder="1" applyAlignment="1">
      <alignment/>
    </xf>
    <xf numFmtId="9" fontId="13" fillId="25" borderId="94" xfId="61" applyFont="1" applyFill="1" applyBorder="1" applyAlignment="1">
      <alignment/>
    </xf>
    <xf numFmtId="9" fontId="13" fillId="25" borderId="73" xfId="61" applyFont="1" applyFill="1" applyBorder="1" applyAlignment="1">
      <alignment/>
    </xf>
    <xf numFmtId="9" fontId="13" fillId="25" borderId="152" xfId="61" applyFont="1" applyFill="1" applyBorder="1" applyAlignment="1">
      <alignment/>
    </xf>
    <xf numFmtId="188" fontId="0" fillId="25" borderId="60" xfId="0" applyNumberFormat="1" applyFill="1" applyBorder="1" applyAlignment="1">
      <alignment/>
    </xf>
    <xf numFmtId="9" fontId="13" fillId="25" borderId="11" xfId="61" applyFont="1" applyFill="1" applyBorder="1" applyAlignment="1">
      <alignment/>
    </xf>
    <xf numFmtId="9" fontId="13" fillId="25" borderId="16" xfId="61" applyFont="1" applyFill="1" applyBorder="1" applyAlignment="1">
      <alignment/>
    </xf>
    <xf numFmtId="189" fontId="13" fillId="7" borderId="72" xfId="61" applyNumberFormat="1" applyFont="1" applyFill="1" applyBorder="1" applyAlignment="1">
      <alignment/>
    </xf>
    <xf numFmtId="10" fontId="13" fillId="25" borderId="94" xfId="61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17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3" fontId="0" fillId="25" borderId="0" xfId="0" applyNumberFormat="1" applyFont="1" applyFill="1" applyBorder="1" applyAlignment="1">
      <alignment/>
    </xf>
    <xf numFmtId="10" fontId="0" fillId="0" borderId="0" xfId="61" applyNumberFormat="1" applyFont="1" applyAlignment="1">
      <alignment horizontal="center"/>
    </xf>
    <xf numFmtId="10" fontId="0" fillId="0" borderId="51" xfId="61" applyNumberFormat="1" applyFont="1" applyBorder="1" applyAlignment="1">
      <alignment horizontal="center"/>
    </xf>
    <xf numFmtId="189" fontId="0" fillId="9" borderId="0" xfId="61" applyNumberFormat="1" applyFont="1" applyFill="1" applyAlignment="1">
      <alignment horizontal="center"/>
    </xf>
    <xf numFmtId="10" fontId="0" fillId="0" borderId="0" xfId="61" applyNumberFormat="1" applyFont="1" applyAlignment="1">
      <alignment/>
    </xf>
    <xf numFmtId="181" fontId="0" fillId="0" borderId="0" xfId="50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60" xfId="0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4" fillId="0" borderId="59" xfId="0" applyNumberFormat="1" applyFont="1" applyFill="1" applyBorder="1" applyAlignment="1">
      <alignment/>
    </xf>
    <xf numFmtId="188" fontId="0" fillId="0" borderId="45" xfId="0" applyNumberFormat="1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62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Alignment="1">
      <alignment horizontal="center"/>
    </xf>
    <xf numFmtId="10" fontId="0" fillId="0" borderId="5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61" applyNumberFormat="1" applyFont="1" applyAlignment="1">
      <alignment/>
    </xf>
    <xf numFmtId="0" fontId="0" fillId="0" borderId="0" xfId="61" applyNumberFormat="1" applyFont="1" applyAlignment="1">
      <alignment horizontal="center"/>
    </xf>
    <xf numFmtId="0" fontId="43" fillId="0" borderId="0" xfId="0" applyFont="1" applyAlignment="1">
      <alignment horizontal="center"/>
    </xf>
    <xf numFmtId="181" fontId="1" fillId="0" borderId="0" xfId="50" applyFont="1" applyAlignment="1">
      <alignment horizontal="center"/>
    </xf>
    <xf numFmtId="181" fontId="1" fillId="0" borderId="51" xfId="50" applyFont="1" applyBorder="1" applyAlignment="1">
      <alignment horizontal="center"/>
    </xf>
    <xf numFmtId="171" fontId="43" fillId="0" borderId="0" xfId="0" applyNumberFormat="1" applyFont="1" applyAlignment="1">
      <alignment horizontal="center"/>
    </xf>
    <xf numFmtId="9" fontId="14" fillId="7" borderId="0" xfId="61" applyFont="1" applyFill="1" applyBorder="1" applyAlignment="1">
      <alignment horizontal="center"/>
    </xf>
    <xf numFmtId="181" fontId="44" fillId="0" borderId="0" xfId="50" applyFont="1" applyAlignment="1">
      <alignment/>
    </xf>
    <xf numFmtId="171" fontId="0" fillId="0" borderId="0" xfId="0" applyNumberFormat="1" applyAlignment="1">
      <alignment/>
    </xf>
    <xf numFmtId="189" fontId="0" fillId="0" borderId="0" xfId="61" applyNumberFormat="1" applyFont="1" applyAlignment="1">
      <alignment/>
    </xf>
    <xf numFmtId="9" fontId="45" fillId="0" borderId="0" xfId="0" applyNumberFormat="1" applyFont="1" applyAlignment="1">
      <alignment horizontal="center"/>
    </xf>
    <xf numFmtId="188" fontId="1" fillId="0" borderId="44" xfId="0" applyNumberFormat="1" applyFont="1" applyFill="1" applyBorder="1" applyAlignment="1">
      <alignment/>
    </xf>
    <xf numFmtId="188" fontId="0" fillId="0" borderId="59" xfId="0" applyNumberFormat="1" applyFill="1" applyBorder="1" applyAlignment="1">
      <alignment/>
    </xf>
    <xf numFmtId="9" fontId="14" fillId="7" borderId="114" xfId="61" applyFont="1" applyFill="1" applyBorder="1" applyAlignment="1">
      <alignment horizontal="center"/>
    </xf>
    <xf numFmtId="9" fontId="13" fillId="7" borderId="116" xfId="61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9" fontId="14" fillId="0" borderId="85" xfId="61" applyFont="1" applyFill="1" applyBorder="1" applyAlignment="1">
      <alignment horizontal="center"/>
    </xf>
    <xf numFmtId="9" fontId="13" fillId="0" borderId="118" xfId="61" applyNumberFormat="1" applyFont="1" applyFill="1" applyBorder="1" applyAlignment="1">
      <alignment horizontal="center"/>
    </xf>
    <xf numFmtId="9" fontId="13" fillId="0" borderId="69" xfId="61" applyNumberFormat="1" applyFont="1" applyFill="1" applyBorder="1" applyAlignment="1">
      <alignment horizontal="center"/>
    </xf>
    <xf numFmtId="10" fontId="43" fillId="0" borderId="0" xfId="61" applyNumberFormat="1" applyFont="1" applyAlignment="1">
      <alignment/>
    </xf>
    <xf numFmtId="9" fontId="14" fillId="7" borderId="112" xfId="61" applyFont="1" applyFill="1" applyBorder="1" applyAlignment="1">
      <alignment horizontal="center"/>
    </xf>
    <xf numFmtId="181" fontId="1" fillId="0" borderId="0" xfId="50" applyFont="1" applyAlignment="1">
      <alignment/>
    </xf>
    <xf numFmtId="171" fontId="43" fillId="0" borderId="0" xfId="0" applyNumberFormat="1" applyFont="1" applyAlignment="1">
      <alignment/>
    </xf>
    <xf numFmtId="9" fontId="14" fillId="0" borderId="113" xfId="61" applyFont="1" applyFill="1" applyBorder="1" applyAlignment="1">
      <alignment horizontal="center"/>
    </xf>
    <xf numFmtId="9" fontId="13" fillId="0" borderId="73" xfId="61" applyFont="1" applyFill="1" applyBorder="1" applyAlignment="1">
      <alignment horizontal="center"/>
    </xf>
    <xf numFmtId="9" fontId="13" fillId="0" borderId="94" xfId="61" applyFont="1" applyFill="1" applyBorder="1" applyAlignment="1">
      <alignment horizontal="center"/>
    </xf>
    <xf numFmtId="10" fontId="0" fillId="22" borderId="110" xfId="61" applyNumberFormat="1" applyFont="1" applyFill="1" applyBorder="1" applyAlignment="1">
      <alignment/>
    </xf>
    <xf numFmtId="188" fontId="1" fillId="25" borderId="20" xfId="0" applyNumberFormat="1" applyFont="1" applyFill="1" applyBorder="1" applyAlignment="1">
      <alignment horizontal="center"/>
    </xf>
    <xf numFmtId="188" fontId="14" fillId="25" borderId="59" xfId="0" applyNumberFormat="1" applyFont="1" applyFill="1" applyBorder="1" applyAlignment="1">
      <alignment horizontal="center"/>
    </xf>
    <xf numFmtId="188" fontId="0" fillId="25" borderId="45" xfId="0" applyNumberFormat="1" applyFill="1" applyBorder="1" applyAlignment="1">
      <alignment horizontal="center"/>
    </xf>
    <xf numFmtId="188" fontId="0" fillId="25" borderId="21" xfId="0" applyNumberFormat="1" applyFill="1" applyBorder="1" applyAlignment="1">
      <alignment horizontal="center"/>
    </xf>
    <xf numFmtId="188" fontId="0" fillId="25" borderId="62" xfId="0" applyNumberFormat="1" applyFill="1" applyBorder="1" applyAlignment="1">
      <alignment horizontal="center"/>
    </xf>
    <xf numFmtId="188" fontId="0" fillId="25" borderId="24" xfId="0" applyNumberFormat="1" applyFill="1" applyBorder="1" applyAlignment="1">
      <alignment horizontal="center"/>
    </xf>
    <xf numFmtId="9" fontId="14" fillId="7" borderId="153" xfId="61" applyFont="1" applyFill="1" applyBorder="1" applyAlignment="1">
      <alignment horizontal="center"/>
    </xf>
    <xf numFmtId="9" fontId="13" fillId="7" borderId="114" xfId="61" applyFont="1" applyFill="1" applyBorder="1" applyAlignment="1">
      <alignment horizontal="center"/>
    </xf>
    <xf numFmtId="9" fontId="13" fillId="7" borderId="64" xfId="61" applyFont="1" applyFill="1" applyBorder="1" applyAlignment="1">
      <alignment horizontal="center"/>
    </xf>
    <xf numFmtId="9" fontId="13" fillId="7" borderId="68" xfId="61" applyFont="1" applyFill="1" applyBorder="1" applyAlignment="1">
      <alignment horizontal="center"/>
    </xf>
    <xf numFmtId="9" fontId="14" fillId="25" borderId="15" xfId="61" applyFont="1" applyFill="1" applyBorder="1" applyAlignment="1">
      <alignment horizontal="center"/>
    </xf>
    <xf numFmtId="9" fontId="14" fillId="7" borderId="116" xfId="61" applyFont="1" applyFill="1" applyBorder="1" applyAlignment="1">
      <alignment horizontal="center"/>
    </xf>
    <xf numFmtId="9" fontId="13" fillId="25" borderId="12" xfId="61" applyFont="1" applyFill="1" applyBorder="1" applyAlignment="1">
      <alignment horizontal="center"/>
    </xf>
    <xf numFmtId="9" fontId="14" fillId="7" borderId="128" xfId="61" applyFont="1" applyFill="1" applyBorder="1" applyAlignment="1">
      <alignment horizontal="center"/>
    </xf>
    <xf numFmtId="0" fontId="18" fillId="25" borderId="55" xfId="0" applyFont="1" applyFill="1" applyBorder="1" applyAlignment="1">
      <alignment horizontal="center" wrapText="1"/>
    </xf>
    <xf numFmtId="9" fontId="13" fillId="25" borderId="85" xfId="61" applyFont="1" applyFill="1" applyBorder="1" applyAlignment="1">
      <alignment horizontal="center"/>
    </xf>
    <xf numFmtId="189" fontId="13" fillId="25" borderId="72" xfId="61" applyNumberFormat="1" applyFont="1" applyFill="1" applyBorder="1" applyAlignment="1">
      <alignment horizontal="center"/>
    </xf>
    <xf numFmtId="189" fontId="13" fillId="25" borderId="69" xfId="61" applyNumberFormat="1" applyFont="1" applyFill="1" applyBorder="1" applyAlignment="1">
      <alignment horizontal="center"/>
    </xf>
    <xf numFmtId="9" fontId="14" fillId="25" borderId="118" xfId="61" applyNumberFormat="1" applyFont="1" applyFill="1" applyBorder="1" applyAlignment="1">
      <alignment horizontal="center"/>
    </xf>
    <xf numFmtId="9" fontId="13" fillId="25" borderId="0" xfId="61" applyFont="1" applyFill="1" applyBorder="1" applyAlignment="1">
      <alignment horizontal="center"/>
    </xf>
    <xf numFmtId="9" fontId="13" fillId="25" borderId="69" xfId="61" applyNumberFormat="1" applyFont="1" applyFill="1" applyBorder="1" applyAlignment="1">
      <alignment horizontal="center"/>
    </xf>
    <xf numFmtId="189" fontId="14" fillId="7" borderId="154" xfId="61" applyNumberFormat="1" applyFont="1" applyFill="1" applyBorder="1" applyAlignment="1">
      <alignment horizontal="center"/>
    </xf>
    <xf numFmtId="189" fontId="13" fillId="7" borderId="112" xfId="61" applyNumberFormat="1" applyFont="1" applyFill="1" applyBorder="1" applyAlignment="1">
      <alignment horizontal="center"/>
    </xf>
    <xf numFmtId="189" fontId="13" fillId="7" borderId="72" xfId="61" applyNumberFormat="1" applyFont="1" applyFill="1" applyBorder="1" applyAlignment="1">
      <alignment horizontal="center"/>
    </xf>
    <xf numFmtId="0" fontId="18" fillId="25" borderId="56" xfId="0" applyFont="1" applyFill="1" applyBorder="1" applyAlignment="1">
      <alignment horizontal="center" wrapText="1"/>
    </xf>
    <xf numFmtId="9" fontId="14" fillId="25" borderId="53" xfId="61" applyFont="1" applyFill="1" applyBorder="1" applyAlignment="1">
      <alignment horizontal="center"/>
    </xf>
    <xf numFmtId="9" fontId="13" fillId="25" borderId="52" xfId="61" applyFont="1" applyFill="1" applyBorder="1" applyAlignment="1">
      <alignment horizontal="center"/>
    </xf>
    <xf numFmtId="189" fontId="14" fillId="25" borderId="125" xfId="61" applyNumberFormat="1" applyFont="1" applyFill="1" applyBorder="1" applyAlignment="1">
      <alignment horizontal="center"/>
    </xf>
    <xf numFmtId="188" fontId="1" fillId="25" borderId="44" xfId="0" applyNumberFormat="1" applyFont="1" applyFill="1" applyBorder="1" applyAlignment="1">
      <alignment horizontal="center"/>
    </xf>
    <xf numFmtId="9" fontId="13" fillId="7" borderId="116" xfId="61" applyFont="1" applyFill="1" applyBorder="1" applyAlignment="1">
      <alignment horizontal="center"/>
    </xf>
    <xf numFmtId="9" fontId="13" fillId="25" borderId="11" xfId="61" applyFont="1" applyFill="1" applyBorder="1" applyAlignment="1">
      <alignment horizontal="center"/>
    </xf>
    <xf numFmtId="9" fontId="14" fillId="25" borderId="85" xfId="61" applyNumberFormat="1" applyFont="1" applyFill="1" applyBorder="1" applyAlignment="1">
      <alignment horizontal="center"/>
    </xf>
    <xf numFmtId="9" fontId="13" fillId="25" borderId="118" xfId="61" applyFont="1" applyFill="1" applyBorder="1" applyAlignment="1">
      <alignment horizontal="center"/>
    </xf>
    <xf numFmtId="9" fontId="13" fillId="25" borderId="69" xfId="61" applyFont="1" applyFill="1" applyBorder="1" applyAlignment="1">
      <alignment horizontal="center"/>
    </xf>
    <xf numFmtId="9" fontId="13" fillId="25" borderId="16" xfId="61" applyFont="1" applyFill="1" applyBorder="1" applyAlignment="1">
      <alignment horizontal="center"/>
    </xf>
    <xf numFmtId="9" fontId="14" fillId="25" borderId="113" xfId="61" applyFont="1" applyFill="1" applyBorder="1" applyAlignment="1">
      <alignment horizontal="center"/>
    </xf>
    <xf numFmtId="9" fontId="13" fillId="25" borderId="73" xfId="61" applyFont="1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85" fontId="0" fillId="16" borderId="37" xfId="0" applyNumberFormat="1" applyFill="1" applyBorder="1" applyAlignment="1">
      <alignment horizontal="center"/>
    </xf>
    <xf numFmtId="0" fontId="0" fillId="16" borderId="52" xfId="0" applyFont="1" applyFill="1" applyBorder="1" applyAlignment="1">
      <alignment horizontal="center"/>
    </xf>
    <xf numFmtId="185" fontId="0" fillId="16" borderId="37" xfId="0" applyNumberFormat="1" applyFont="1" applyFill="1" applyBorder="1" applyAlignment="1">
      <alignment horizontal="center"/>
    </xf>
    <xf numFmtId="0" fontId="0" fillId="25" borderId="61" xfId="0" applyFont="1" applyFill="1" applyBorder="1" applyAlignment="1">
      <alignment horizontal="center"/>
    </xf>
    <xf numFmtId="185" fontId="0" fillId="25" borderId="62" xfId="0" applyNumberFormat="1" applyFont="1" applyFill="1" applyBorder="1" applyAlignment="1">
      <alignment horizontal="center"/>
    </xf>
    <xf numFmtId="0" fontId="2" fillId="25" borderId="69" xfId="0" applyFont="1" applyFill="1" applyBorder="1" applyAlignment="1">
      <alignment/>
    </xf>
    <xf numFmtId="0" fontId="2" fillId="16" borderId="69" xfId="0" applyFont="1" applyFill="1" applyBorder="1" applyAlignment="1">
      <alignment/>
    </xf>
    <xf numFmtId="0" fontId="2" fillId="25" borderId="72" xfId="0" applyFont="1" applyFill="1" applyBorder="1" applyAlignment="1">
      <alignment/>
    </xf>
    <xf numFmtId="0" fontId="2" fillId="16" borderId="96" xfId="0" applyFont="1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188" fontId="1" fillId="25" borderId="20" xfId="0" applyNumberFormat="1" applyFont="1" applyFill="1" applyBorder="1" applyAlignment="1">
      <alignment/>
    </xf>
    <xf numFmtId="188" fontId="1" fillId="25" borderId="137" xfId="0" applyNumberFormat="1" applyFont="1" applyFill="1" applyBorder="1" applyAlignment="1">
      <alignment/>
    </xf>
    <xf numFmtId="188" fontId="14" fillId="25" borderId="20" xfId="0" applyNumberFormat="1" applyFont="1" applyFill="1" applyBorder="1" applyAlignment="1">
      <alignment/>
    </xf>
    <xf numFmtId="188" fontId="14" fillId="25" borderId="60" xfId="0" applyNumberFormat="1" applyFont="1" applyFill="1" applyBorder="1" applyAlignment="1">
      <alignment/>
    </xf>
    <xf numFmtId="188" fontId="14" fillId="25" borderId="44" xfId="0" applyNumberFormat="1" applyFont="1" applyFill="1" applyBorder="1" applyAlignment="1">
      <alignment/>
    </xf>
    <xf numFmtId="0" fontId="2" fillId="16" borderId="54" xfId="0" applyFont="1" applyFill="1" applyBorder="1" applyAlignment="1">
      <alignment/>
    </xf>
    <xf numFmtId="0" fontId="2" fillId="16" borderId="93" xfId="0" applyFont="1" applyFill="1" applyBorder="1" applyAlignment="1">
      <alignment/>
    </xf>
    <xf numFmtId="0" fontId="1" fillId="16" borderId="50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/>
    </xf>
    <xf numFmtId="0" fontId="24" fillId="16" borderId="83" xfId="0" applyFont="1" applyFill="1" applyBorder="1" applyAlignment="1">
      <alignment horizontal="center"/>
    </xf>
    <xf numFmtId="0" fontId="24" fillId="16" borderId="155" xfId="0" applyFont="1" applyFill="1" applyBorder="1" applyAlignment="1">
      <alignment horizontal="center"/>
    </xf>
    <xf numFmtId="0" fontId="24" fillId="16" borderId="156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/>
    </xf>
    <xf numFmtId="0" fontId="1" fillId="16" borderId="64" xfId="0" applyFont="1" applyFill="1" applyBorder="1" applyAlignment="1">
      <alignment horizontal="center" vertical="center"/>
    </xf>
    <xf numFmtId="0" fontId="1" fillId="16" borderId="62" xfId="0" applyFon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188" fontId="0" fillId="16" borderId="16" xfId="0" applyNumberFormat="1" applyFill="1" applyBorder="1" applyAlignment="1">
      <alignment vertical="center"/>
    </xf>
    <xf numFmtId="188" fontId="0" fillId="16" borderId="52" xfId="0" applyNumberFormat="1" applyFill="1" applyBorder="1" applyAlignment="1">
      <alignment vertical="center"/>
    </xf>
    <xf numFmtId="188" fontId="0" fillId="16" borderId="50" xfId="0" applyNumberFormat="1" applyFill="1" applyBorder="1" applyAlignment="1">
      <alignment vertical="center"/>
    </xf>
    <xf numFmtId="0" fontId="0" fillId="16" borderId="50" xfId="0" applyNumberFormat="1" applyFill="1" applyBorder="1" applyAlignment="1">
      <alignment horizontal="center" vertical="center"/>
    </xf>
    <xf numFmtId="0" fontId="0" fillId="16" borderId="50" xfId="0" applyNumberFormat="1" applyFont="1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188" fontId="0" fillId="25" borderId="20" xfId="0" applyNumberFormat="1" applyFill="1" applyBorder="1" applyAlignment="1">
      <alignment vertical="center"/>
    </xf>
    <xf numFmtId="188" fontId="0" fillId="25" borderId="61" xfId="0" applyNumberFormat="1" applyFill="1" applyBorder="1" applyAlignment="1">
      <alignment vertical="center"/>
    </xf>
    <xf numFmtId="188" fontId="0" fillId="25" borderId="44" xfId="0" applyNumberFormat="1" applyFill="1" applyBorder="1" applyAlignment="1">
      <alignment vertical="center"/>
    </xf>
    <xf numFmtId="0" fontId="2" fillId="16" borderId="54" xfId="0" applyFont="1" applyFill="1" applyBorder="1" applyAlignment="1">
      <alignment vertical="center"/>
    </xf>
    <xf numFmtId="0" fontId="2" fillId="25" borderId="93" xfId="0" applyFont="1" applyFill="1" applyBorder="1" applyAlignment="1">
      <alignment vertical="center"/>
    </xf>
    <xf numFmtId="0" fontId="2" fillId="16" borderId="93" xfId="0" applyFont="1" applyFill="1" applyBorder="1" applyAlignment="1">
      <alignment vertical="center"/>
    </xf>
    <xf numFmtId="0" fontId="2" fillId="25" borderId="44" xfId="0" applyFont="1" applyFill="1" applyBorder="1" applyAlignment="1">
      <alignment vertical="center"/>
    </xf>
    <xf numFmtId="4" fontId="1" fillId="7" borderId="65" xfId="0" applyNumberFormat="1" applyFont="1" applyFill="1" applyBorder="1" applyAlignment="1">
      <alignment/>
    </xf>
    <xf numFmtId="4" fontId="0" fillId="7" borderId="37" xfId="0" applyNumberFormat="1" applyFill="1" applyBorder="1" applyAlignment="1">
      <alignment/>
    </xf>
    <xf numFmtId="4" fontId="0" fillId="7" borderId="19" xfId="0" applyNumberFormat="1" applyFill="1" applyBorder="1" applyAlignment="1">
      <alignment/>
    </xf>
    <xf numFmtId="4" fontId="1" fillId="16" borderId="51" xfId="0" applyNumberFormat="1" applyFont="1" applyFill="1" applyBorder="1" applyAlignment="1">
      <alignment/>
    </xf>
    <xf numFmtId="4" fontId="14" fillId="16" borderId="37" xfId="0" applyNumberFormat="1" applyFont="1" applyFill="1" applyBorder="1" applyAlignment="1">
      <alignment/>
    </xf>
    <xf numFmtId="4" fontId="0" fillId="16" borderId="52" xfId="0" applyNumberFormat="1" applyFill="1" applyBorder="1" applyAlignment="1">
      <alignment/>
    </xf>
    <xf numFmtId="4" fontId="0" fillId="16" borderId="74" xfId="0" applyNumberFormat="1" applyFill="1" applyBorder="1" applyAlignment="1">
      <alignment/>
    </xf>
    <xf numFmtId="4" fontId="14" fillId="16" borderId="16" xfId="0" applyNumberFormat="1" applyFont="1" applyFill="1" applyBorder="1" applyAlignment="1">
      <alignment/>
    </xf>
    <xf numFmtId="4" fontId="0" fillId="16" borderId="37" xfId="0" applyNumberFormat="1" applyFill="1" applyBorder="1" applyAlignment="1">
      <alignment/>
    </xf>
    <xf numFmtId="4" fontId="0" fillId="16" borderId="0" xfId="0" applyNumberFormat="1" applyFill="1" applyBorder="1" applyAlignment="1">
      <alignment/>
    </xf>
    <xf numFmtId="4" fontId="14" fillId="16" borderId="65" xfId="0" applyNumberFormat="1" applyFont="1" applyFill="1" applyBorder="1" applyAlignment="1">
      <alignment/>
    </xf>
    <xf numFmtId="4" fontId="0" fillId="16" borderId="19" xfId="0" applyNumberFormat="1" applyFill="1" applyBorder="1" applyAlignment="1">
      <alignment/>
    </xf>
    <xf numFmtId="209" fontId="0" fillId="0" borderId="0" xfId="52" applyNumberFormat="1" applyFont="1" applyAlignment="1">
      <alignment/>
    </xf>
    <xf numFmtId="210" fontId="0" fillId="0" borderId="0" xfId="0" applyNumberFormat="1" applyAlignment="1">
      <alignment/>
    </xf>
    <xf numFmtId="9" fontId="14" fillId="16" borderId="139" xfId="63" applyNumberFormat="1" applyFont="1" applyFill="1" applyBorder="1" applyAlignment="1">
      <alignment vertical="center"/>
    </xf>
    <xf numFmtId="9" fontId="14" fillId="16" borderId="127" xfId="63" applyNumberFormat="1" applyFont="1" applyFill="1" applyBorder="1" applyAlignment="1">
      <alignment vertical="center"/>
    </xf>
    <xf numFmtId="9" fontId="14" fillId="16" borderId="54" xfId="63" applyNumberFormat="1" applyFont="1" applyFill="1" applyBorder="1" applyAlignment="1">
      <alignment vertical="center"/>
    </xf>
    <xf numFmtId="9" fontId="14" fillId="25" borderId="70" xfId="63" applyNumberFormat="1" applyFont="1" applyFill="1" applyBorder="1" applyAlignment="1">
      <alignment vertical="center"/>
    </xf>
    <xf numFmtId="9" fontId="14" fillId="25" borderId="124" xfId="63" applyNumberFormat="1" applyFont="1" applyFill="1" applyBorder="1" applyAlignment="1">
      <alignment vertical="center"/>
    </xf>
    <xf numFmtId="9" fontId="14" fillId="25" borderId="93" xfId="63" applyNumberFormat="1" applyFont="1" applyFill="1" applyBorder="1" applyAlignment="1">
      <alignment vertical="center"/>
    </xf>
    <xf numFmtId="9" fontId="14" fillId="16" borderId="70" xfId="63" applyNumberFormat="1" applyFont="1" applyFill="1" applyBorder="1" applyAlignment="1">
      <alignment vertical="center"/>
    </xf>
    <xf numFmtId="9" fontId="14" fillId="16" borderId="124" xfId="63" applyNumberFormat="1" applyFont="1" applyFill="1" applyBorder="1" applyAlignment="1">
      <alignment vertical="center"/>
    </xf>
    <xf numFmtId="9" fontId="14" fillId="16" borderId="93" xfId="63" applyNumberFormat="1" applyFont="1" applyFill="1" applyBorder="1" applyAlignment="1">
      <alignment vertical="center"/>
    </xf>
    <xf numFmtId="9" fontId="14" fillId="25" borderId="20" xfId="63" applyNumberFormat="1" applyFont="1" applyFill="1" applyBorder="1" applyAlignment="1">
      <alignment vertical="center"/>
    </xf>
    <xf numFmtId="9" fontId="14" fillId="25" borderId="61" xfId="63" applyNumberFormat="1" applyFont="1" applyFill="1" applyBorder="1" applyAlignment="1">
      <alignment vertical="center"/>
    </xf>
    <xf numFmtId="9" fontId="14" fillId="25" borderId="44" xfId="63" applyNumberFormat="1" applyFont="1" applyFill="1" applyBorder="1" applyAlignment="1">
      <alignment vertical="center"/>
    </xf>
    <xf numFmtId="189" fontId="0" fillId="0" borderId="0" xfId="63" applyNumberFormat="1" applyFont="1" applyAlignment="1">
      <alignment horizontal="center"/>
    </xf>
    <xf numFmtId="189" fontId="0" fillId="0" borderId="0" xfId="63" applyNumberFormat="1" applyFont="1" applyAlignment="1">
      <alignment/>
    </xf>
    <xf numFmtId="18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89" fontId="42" fillId="0" borderId="0" xfId="0" applyNumberFormat="1" applyFont="1" applyAlignment="1">
      <alignment horizontal="center"/>
    </xf>
    <xf numFmtId="9" fontId="42" fillId="0" borderId="0" xfId="0" applyNumberFormat="1" applyFont="1" applyAlignment="1">
      <alignment horizontal="center"/>
    </xf>
    <xf numFmtId="43" fontId="0" fillId="0" borderId="0" xfId="52" applyFont="1" applyAlignment="1">
      <alignment/>
    </xf>
    <xf numFmtId="9" fontId="0" fillId="0" borderId="0" xfId="63" applyFont="1" applyAlignment="1">
      <alignment/>
    </xf>
    <xf numFmtId="43" fontId="0" fillId="0" borderId="0" xfId="52" applyFont="1" applyFill="1" applyAlignment="1">
      <alignment/>
    </xf>
    <xf numFmtId="43" fontId="43" fillId="0" borderId="0" xfId="52" applyFont="1" applyFill="1" applyAlignment="1">
      <alignment/>
    </xf>
    <xf numFmtId="9" fontId="0" fillId="0" borderId="0" xfId="63" applyFont="1" applyFill="1" applyAlignment="1">
      <alignment/>
    </xf>
    <xf numFmtId="188" fontId="0" fillId="16" borderId="16" xfId="0" applyNumberFormat="1" applyFill="1" applyBorder="1" applyAlignment="1">
      <alignment/>
    </xf>
    <xf numFmtId="188" fontId="23" fillId="16" borderId="50" xfId="0" applyNumberFormat="1" applyFont="1" applyFill="1" applyBorder="1" applyAlignment="1">
      <alignment/>
    </xf>
    <xf numFmtId="188" fontId="0" fillId="25" borderId="20" xfId="0" applyNumberFormat="1" applyFill="1" applyBorder="1" applyAlignment="1">
      <alignment/>
    </xf>
    <xf numFmtId="188" fontId="23" fillId="25" borderId="44" xfId="0" applyNumberFormat="1" applyFont="1" applyFill="1" applyBorder="1" applyAlignment="1">
      <alignment/>
    </xf>
    <xf numFmtId="9" fontId="0" fillId="0" borderId="0" xfId="0" applyNumberFormat="1" applyFont="1" applyAlignment="1">
      <alignment horizontal="center"/>
    </xf>
    <xf numFmtId="9" fontId="2" fillId="0" borderId="0" xfId="63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9" fontId="14" fillId="16" borderId="11" xfId="63" applyNumberFormat="1" applyFont="1" applyFill="1" applyBorder="1" applyAlignment="1">
      <alignment horizontal="center"/>
    </xf>
    <xf numFmtId="9" fontId="14" fillId="16" borderId="157" xfId="63" applyFont="1" applyFill="1" applyBorder="1" applyAlignment="1">
      <alignment horizontal="center"/>
    </xf>
    <xf numFmtId="9" fontId="13" fillId="16" borderId="57" xfId="63" applyFont="1" applyFill="1" applyBorder="1" applyAlignment="1">
      <alignment horizontal="center"/>
    </xf>
    <xf numFmtId="9" fontId="13" fillId="16" borderId="58" xfId="63" applyFont="1" applyFill="1" applyBorder="1" applyAlignment="1">
      <alignment horizontal="center"/>
    </xf>
    <xf numFmtId="9" fontId="13" fillId="16" borderId="38" xfId="63" applyFont="1" applyFill="1" applyBorder="1" applyAlignment="1">
      <alignment horizontal="center"/>
    </xf>
    <xf numFmtId="9" fontId="14" fillId="25" borderId="70" xfId="63" applyFont="1" applyFill="1" applyBorder="1" applyAlignment="1">
      <alignment horizontal="center"/>
    </xf>
    <xf numFmtId="9" fontId="14" fillId="25" borderId="158" xfId="63" applyFont="1" applyFill="1" applyBorder="1" applyAlignment="1">
      <alignment horizontal="center"/>
    </xf>
    <xf numFmtId="9" fontId="13" fillId="25" borderId="71" xfId="63" applyFont="1" applyFill="1" applyBorder="1" applyAlignment="1">
      <alignment horizontal="center"/>
    </xf>
    <xf numFmtId="9" fontId="13" fillId="25" borderId="123" xfId="63" applyFont="1" applyFill="1" applyBorder="1" applyAlignment="1">
      <alignment horizontal="center"/>
    </xf>
    <xf numFmtId="9" fontId="13" fillId="25" borderId="93" xfId="63" applyNumberFormat="1" applyFont="1" applyFill="1" applyBorder="1" applyAlignment="1">
      <alignment horizontal="center"/>
    </xf>
    <xf numFmtId="9" fontId="14" fillId="16" borderId="70" xfId="63" applyNumberFormat="1" applyFont="1" applyFill="1" applyBorder="1" applyAlignment="1">
      <alignment horizontal="center"/>
    </xf>
    <xf numFmtId="9" fontId="14" fillId="16" borderId="158" xfId="63" applyFont="1" applyFill="1" applyBorder="1" applyAlignment="1">
      <alignment horizontal="center"/>
    </xf>
    <xf numFmtId="9" fontId="13" fillId="16" borderId="71" xfId="63" applyFont="1" applyFill="1" applyBorder="1" applyAlignment="1">
      <alignment horizontal="center"/>
    </xf>
    <xf numFmtId="9" fontId="13" fillId="16" borderId="123" xfId="63" applyFont="1" applyFill="1" applyBorder="1" applyAlignment="1">
      <alignment horizontal="center"/>
    </xf>
    <xf numFmtId="9" fontId="13" fillId="16" borderId="93" xfId="63" applyFont="1" applyFill="1" applyBorder="1" applyAlignment="1">
      <alignment horizontal="center"/>
    </xf>
    <xf numFmtId="9" fontId="14" fillId="25" borderId="20" xfId="63" applyFont="1" applyFill="1" applyBorder="1" applyAlignment="1">
      <alignment horizontal="center"/>
    </xf>
    <xf numFmtId="9" fontId="14" fillId="25" borderId="137" xfId="63" applyFont="1" applyFill="1" applyBorder="1" applyAlignment="1">
      <alignment horizontal="center"/>
    </xf>
    <xf numFmtId="9" fontId="13" fillId="25" borderId="59" xfId="63" applyFont="1" applyFill="1" applyBorder="1" applyAlignment="1">
      <alignment horizontal="center"/>
    </xf>
    <xf numFmtId="9" fontId="13" fillId="25" borderId="60" xfId="63" applyFont="1" applyFill="1" applyBorder="1" applyAlignment="1">
      <alignment horizontal="center"/>
    </xf>
    <xf numFmtId="9" fontId="13" fillId="25" borderId="44" xfId="63" applyFont="1" applyFill="1" applyBorder="1" applyAlignment="1">
      <alignment horizontal="center"/>
    </xf>
    <xf numFmtId="9" fontId="1" fillId="16" borderId="96" xfId="63" applyFont="1" applyFill="1" applyBorder="1" applyAlignment="1">
      <alignment horizontal="center" vertical="center"/>
    </xf>
    <xf numFmtId="9" fontId="1" fillId="25" borderId="72" xfId="63" applyFont="1" applyFill="1" applyBorder="1" applyAlignment="1">
      <alignment horizontal="center" vertical="center"/>
    </xf>
    <xf numFmtId="9" fontId="1" fillId="16" borderId="72" xfId="63" applyFont="1" applyFill="1" applyBorder="1" applyAlignment="1">
      <alignment horizontal="center" vertical="center"/>
    </xf>
    <xf numFmtId="9" fontId="1" fillId="25" borderId="37" xfId="63" applyNumberFormat="1" applyFont="1" applyFill="1" applyBorder="1" applyAlignment="1">
      <alignment horizontal="center" vertical="center"/>
    </xf>
    <xf numFmtId="192" fontId="0" fillId="0" borderId="0" xfId="63" applyNumberFormat="1" applyFont="1" applyAlignment="1">
      <alignment/>
    </xf>
    <xf numFmtId="9" fontId="14" fillId="25" borderId="152" xfId="63" applyNumberFormat="1" applyFont="1" applyFill="1" applyBorder="1" applyAlignment="1">
      <alignment horizontal="center"/>
    </xf>
    <xf numFmtId="9" fontId="14" fillId="25" borderId="37" xfId="63" applyFont="1" applyFill="1" applyBorder="1" applyAlignment="1">
      <alignment horizontal="center"/>
    </xf>
    <xf numFmtId="9" fontId="14" fillId="25" borderId="126" xfId="63" applyNumberFormat="1" applyFont="1" applyFill="1" applyBorder="1" applyAlignment="1">
      <alignment horizontal="center"/>
    </xf>
    <xf numFmtId="9" fontId="14" fillId="25" borderId="94" xfId="63" applyFont="1" applyFill="1" applyBorder="1" applyAlignment="1">
      <alignment horizontal="center"/>
    </xf>
    <xf numFmtId="9" fontId="14" fillId="25" borderId="136" xfId="63" applyFont="1" applyFill="1" applyBorder="1" applyAlignment="1">
      <alignment horizontal="center"/>
    </xf>
    <xf numFmtId="9" fontId="14" fillId="25" borderId="56" xfId="63" applyFont="1" applyFill="1" applyBorder="1" applyAlignment="1">
      <alignment horizontal="center"/>
    </xf>
    <xf numFmtId="9" fontId="14" fillId="25" borderId="126" xfId="63" applyFont="1" applyFill="1" applyBorder="1" applyAlignment="1">
      <alignment horizontal="center"/>
    </xf>
    <xf numFmtId="9" fontId="14" fillId="25" borderId="120" xfId="63" applyFont="1" applyFill="1" applyBorder="1" applyAlignment="1">
      <alignment horizontal="center"/>
    </xf>
    <xf numFmtId="9" fontId="14" fillId="7" borderId="119" xfId="63" applyFont="1" applyFill="1" applyBorder="1" applyAlignment="1">
      <alignment horizontal="center"/>
    </xf>
    <xf numFmtId="9" fontId="14" fillId="7" borderId="124" xfId="63" applyFont="1" applyFill="1" applyBorder="1" applyAlignment="1">
      <alignment horizontal="center"/>
    </xf>
    <xf numFmtId="9" fontId="14" fillId="7" borderId="72" xfId="63" applyNumberFormat="1" applyFont="1" applyFill="1" applyBorder="1" applyAlignment="1">
      <alignment horizontal="center"/>
    </xf>
    <xf numFmtId="9" fontId="14" fillId="7" borderId="154" xfId="63" applyFont="1" applyFill="1" applyBorder="1" applyAlignment="1">
      <alignment horizontal="center"/>
    </xf>
    <xf numFmtId="9" fontId="14" fillId="7" borderId="93" xfId="63" applyNumberFormat="1" applyFont="1" applyFill="1" applyBorder="1" applyAlignment="1">
      <alignment horizontal="center"/>
    </xf>
    <xf numFmtId="9" fontId="14" fillId="7" borderId="72" xfId="63" applyFont="1" applyFill="1" applyBorder="1" applyAlignment="1">
      <alignment horizontal="center"/>
    </xf>
    <xf numFmtId="9" fontId="14" fillId="7" borderId="70" xfId="63" applyNumberFormat="1" applyFont="1" applyFill="1" applyBorder="1" applyAlignment="1">
      <alignment horizontal="center"/>
    </xf>
    <xf numFmtId="9" fontId="14" fillId="25" borderId="119" xfId="63" applyNumberFormat="1" applyFont="1" applyFill="1" applyBorder="1" applyAlignment="1">
      <alignment horizontal="center"/>
    </xf>
    <xf numFmtId="9" fontId="14" fillId="25" borderId="37" xfId="63" applyNumberFormat="1" applyFont="1" applyFill="1" applyBorder="1" applyAlignment="1">
      <alignment horizontal="center"/>
    </xf>
    <xf numFmtId="9" fontId="14" fillId="25" borderId="124" xfId="63" applyNumberFormat="1" applyFont="1" applyFill="1" applyBorder="1" applyAlignment="1">
      <alignment horizontal="center"/>
    </xf>
    <xf numFmtId="9" fontId="14" fillId="25" borderId="72" xfId="63" applyNumberFormat="1" applyFont="1" applyFill="1" applyBorder="1" applyAlignment="1">
      <alignment horizontal="center"/>
    </xf>
    <xf numFmtId="9" fontId="14" fillId="25" borderId="154" xfId="63" applyNumberFormat="1" applyFont="1" applyFill="1" applyBorder="1" applyAlignment="1">
      <alignment horizontal="center"/>
    </xf>
    <xf numFmtId="9" fontId="14" fillId="25" borderId="93" xfId="63" applyNumberFormat="1" applyFont="1" applyFill="1" applyBorder="1" applyAlignment="1">
      <alignment horizontal="center"/>
    </xf>
    <xf numFmtId="9" fontId="14" fillId="25" borderId="70" xfId="63" applyNumberFormat="1" applyFont="1" applyFill="1" applyBorder="1" applyAlignment="1">
      <alignment horizontal="center"/>
    </xf>
    <xf numFmtId="9" fontId="14" fillId="7" borderId="115" xfId="63" applyNumberFormat="1" applyFont="1" applyFill="1" applyBorder="1" applyAlignment="1">
      <alignment horizontal="center"/>
    </xf>
    <xf numFmtId="9" fontId="14" fillId="25" borderId="64" xfId="63" applyNumberFormat="1" applyFont="1" applyFill="1" applyBorder="1" applyAlignment="1">
      <alignment horizontal="center"/>
    </xf>
    <xf numFmtId="9" fontId="14" fillId="7" borderId="127" xfId="63" applyNumberFormat="1" applyFont="1" applyFill="1" applyBorder="1" applyAlignment="1">
      <alignment horizontal="center"/>
    </xf>
    <xf numFmtId="9" fontId="14" fillId="7" borderId="68" xfId="63" applyNumberFormat="1" applyFont="1" applyFill="1" applyBorder="1" applyAlignment="1">
      <alignment horizontal="center"/>
    </xf>
    <xf numFmtId="9" fontId="14" fillId="7" borderId="153" xfId="63" applyNumberFormat="1" applyFont="1" applyFill="1" applyBorder="1" applyAlignment="1">
      <alignment horizontal="center"/>
    </xf>
    <xf numFmtId="9" fontId="14" fillId="7" borderId="54" xfId="63" applyNumberFormat="1" applyFont="1" applyFill="1" applyBorder="1" applyAlignment="1">
      <alignment horizontal="center"/>
    </xf>
    <xf numFmtId="9" fontId="14" fillId="7" borderId="139" xfId="63" applyNumberFormat="1" applyFont="1" applyFill="1" applyBorder="1" applyAlignment="1">
      <alignment horizontal="center"/>
    </xf>
    <xf numFmtId="188" fontId="0" fillId="0" borderId="19" xfId="0" applyNumberFormat="1" applyFont="1" applyFill="1" applyBorder="1" applyAlignment="1">
      <alignment/>
    </xf>
    <xf numFmtId="188" fontId="0" fillId="0" borderId="37" xfId="0" applyNumberFormat="1" applyFont="1" applyFill="1" applyBorder="1" applyAlignment="1">
      <alignment/>
    </xf>
    <xf numFmtId="188" fontId="0" fillId="0" borderId="52" xfId="0" applyNumberFormat="1" applyFont="1" applyFill="1" applyBorder="1" applyAlignment="1">
      <alignment/>
    </xf>
    <xf numFmtId="188" fontId="0" fillId="0" borderId="65" xfId="0" applyNumberFormat="1" applyFont="1" applyFill="1" applyBorder="1" applyAlignment="1">
      <alignment/>
    </xf>
    <xf numFmtId="188" fontId="0" fillId="0" borderId="16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188" fontId="1" fillId="29" borderId="0" xfId="0" applyNumberFormat="1" applyFont="1" applyFill="1" applyBorder="1" applyAlignment="1">
      <alignment/>
    </xf>
    <xf numFmtId="188" fontId="0" fillId="29" borderId="0" xfId="0" applyNumberFormat="1" applyFont="1" applyFill="1" applyBorder="1" applyAlignment="1">
      <alignment/>
    </xf>
    <xf numFmtId="4" fontId="1" fillId="29" borderId="0" xfId="0" applyNumberFormat="1" applyFont="1" applyFill="1" applyBorder="1" applyAlignment="1">
      <alignment/>
    </xf>
    <xf numFmtId="4" fontId="14" fillId="29" borderId="0" xfId="0" applyNumberFormat="1" applyFont="1" applyFill="1" applyBorder="1" applyAlignment="1">
      <alignment/>
    </xf>
    <xf numFmtId="4" fontId="0" fillId="29" borderId="0" xfId="0" applyNumberFormat="1" applyFill="1" applyBorder="1" applyAlignment="1">
      <alignment/>
    </xf>
    <xf numFmtId="188" fontId="1" fillId="23" borderId="0" xfId="0" applyNumberFormat="1" applyFont="1" applyFill="1" applyBorder="1" applyAlignment="1">
      <alignment/>
    </xf>
    <xf numFmtId="188" fontId="0" fillId="23" borderId="0" xfId="0" applyNumberFormat="1" applyFont="1" applyFill="1" applyBorder="1" applyAlignment="1">
      <alignment/>
    </xf>
    <xf numFmtId="0" fontId="18" fillId="23" borderId="0" xfId="0" applyFont="1" applyFill="1" applyBorder="1" applyAlignment="1">
      <alignment horizontal="center" wrapText="1"/>
    </xf>
    <xf numFmtId="9" fontId="14" fillId="23" borderId="0" xfId="61" applyNumberFormat="1" applyFont="1" applyFill="1" applyBorder="1" applyAlignment="1">
      <alignment horizontal="center"/>
    </xf>
    <xf numFmtId="9" fontId="13" fillId="23" borderId="0" xfId="61" applyNumberFormat="1" applyFont="1" applyFill="1" applyBorder="1" applyAlignment="1">
      <alignment/>
    </xf>
    <xf numFmtId="9" fontId="14" fillId="0" borderId="0" xfId="61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22" borderId="133" xfId="0" applyFill="1" applyBorder="1" applyAlignment="1">
      <alignment/>
    </xf>
    <xf numFmtId="9" fontId="14" fillId="7" borderId="116" xfId="63" applyNumberFormat="1" applyFont="1" applyFill="1" applyBorder="1" applyAlignment="1">
      <alignment horizontal="center"/>
    </xf>
    <xf numFmtId="9" fontId="14" fillId="7" borderId="128" xfId="63" applyNumberFormat="1" applyFont="1" applyFill="1" applyBorder="1" applyAlignment="1">
      <alignment horizontal="center"/>
    </xf>
    <xf numFmtId="9" fontId="13" fillId="7" borderId="114" xfId="63" applyNumberFormat="1" applyFont="1" applyFill="1" applyBorder="1" applyAlignment="1">
      <alignment horizontal="center"/>
    </xf>
    <xf numFmtId="9" fontId="13" fillId="7" borderId="68" xfId="63" applyNumberFormat="1" applyFont="1" applyFill="1" applyBorder="1" applyAlignment="1">
      <alignment horizontal="center"/>
    </xf>
    <xf numFmtId="9" fontId="13" fillId="7" borderId="153" xfId="63" applyNumberFormat="1" applyFont="1" applyFill="1" applyBorder="1" applyAlignment="1">
      <alignment horizontal="center"/>
    </xf>
    <xf numFmtId="9" fontId="13" fillId="7" borderId="127" xfId="63" applyNumberFormat="1" applyFont="1" applyFill="1" applyBorder="1" applyAlignment="1">
      <alignment horizontal="center"/>
    </xf>
    <xf numFmtId="9" fontId="13" fillId="25" borderId="38" xfId="63" applyNumberFormat="1" applyFont="1" applyFill="1" applyBorder="1" applyAlignment="1">
      <alignment horizontal="center"/>
    </xf>
    <xf numFmtId="9" fontId="13" fillId="7" borderId="115" xfId="63" applyNumberFormat="1" applyFont="1" applyFill="1" applyBorder="1" applyAlignment="1">
      <alignment horizontal="center"/>
    </xf>
    <xf numFmtId="9" fontId="14" fillId="25" borderId="71" xfId="63" applyNumberFormat="1" applyFont="1" applyFill="1" applyBorder="1" applyAlignment="1">
      <alignment horizontal="center"/>
    </xf>
    <xf numFmtId="9" fontId="14" fillId="25" borderId="123" xfId="63" applyNumberFormat="1" applyFont="1" applyFill="1" applyBorder="1" applyAlignment="1">
      <alignment horizontal="center"/>
    </xf>
    <xf numFmtId="9" fontId="13" fillId="25" borderId="112" xfId="63" applyNumberFormat="1" applyFont="1" applyFill="1" applyBorder="1" applyAlignment="1">
      <alignment horizontal="center"/>
    </xf>
    <xf numFmtId="9" fontId="13" fillId="25" borderId="72" xfId="63" applyNumberFormat="1" applyFont="1" applyFill="1" applyBorder="1" applyAlignment="1">
      <alignment horizontal="center"/>
    </xf>
    <xf numFmtId="9" fontId="13" fillId="25" borderId="154" xfId="63" applyNumberFormat="1" applyFont="1" applyFill="1" applyBorder="1" applyAlignment="1">
      <alignment horizontal="center"/>
    </xf>
    <xf numFmtId="9" fontId="13" fillId="25" borderId="124" xfId="63" applyNumberFormat="1" applyFont="1" applyFill="1" applyBorder="1" applyAlignment="1">
      <alignment horizontal="center"/>
    </xf>
    <xf numFmtId="9" fontId="13" fillId="25" borderId="50" xfId="63" applyNumberFormat="1" applyFont="1" applyFill="1" applyBorder="1" applyAlignment="1">
      <alignment horizontal="center"/>
    </xf>
    <xf numFmtId="9" fontId="13" fillId="25" borderId="119" xfId="63" applyNumberFormat="1" applyFont="1" applyFill="1" applyBorder="1" applyAlignment="1">
      <alignment horizontal="center"/>
    </xf>
    <xf numFmtId="9" fontId="14" fillId="7" borderId="71" xfId="63" applyFont="1" applyFill="1" applyBorder="1" applyAlignment="1">
      <alignment horizontal="center"/>
    </xf>
    <xf numFmtId="9" fontId="14" fillId="7" borderId="123" xfId="63" applyFont="1" applyFill="1" applyBorder="1" applyAlignment="1">
      <alignment horizontal="center"/>
    </xf>
    <xf numFmtId="9" fontId="13" fillId="7" borderId="112" xfId="63" applyFont="1" applyFill="1" applyBorder="1" applyAlignment="1">
      <alignment horizontal="center"/>
    </xf>
    <xf numFmtId="9" fontId="13" fillId="7" borderId="72" xfId="63" applyFont="1" applyFill="1" applyBorder="1" applyAlignment="1">
      <alignment horizontal="center"/>
    </xf>
    <xf numFmtId="9" fontId="13" fillId="7" borderId="154" xfId="63" applyFont="1" applyFill="1" applyBorder="1" applyAlignment="1">
      <alignment horizontal="center"/>
    </xf>
    <xf numFmtId="9" fontId="13" fillId="7" borderId="124" xfId="63" applyFont="1" applyFill="1" applyBorder="1" applyAlignment="1">
      <alignment horizontal="center"/>
    </xf>
    <xf numFmtId="9" fontId="13" fillId="25" borderId="50" xfId="63" applyFont="1" applyFill="1" applyBorder="1" applyAlignment="1">
      <alignment horizontal="center"/>
    </xf>
    <xf numFmtId="9" fontId="13" fillId="7" borderId="119" xfId="63" applyFont="1" applyFill="1" applyBorder="1" applyAlignment="1">
      <alignment horizontal="center"/>
    </xf>
    <xf numFmtId="9" fontId="14" fillId="25" borderId="73" xfId="63" applyFont="1" applyFill="1" applyBorder="1" applyAlignment="1">
      <alignment horizontal="center"/>
    </xf>
    <xf numFmtId="9" fontId="14" fillId="25" borderId="125" xfId="63" applyFont="1" applyFill="1" applyBorder="1" applyAlignment="1">
      <alignment horizontal="center"/>
    </xf>
    <xf numFmtId="9" fontId="13" fillId="25" borderId="113" xfId="63" applyFont="1" applyFill="1" applyBorder="1" applyAlignment="1">
      <alignment horizontal="center"/>
    </xf>
    <xf numFmtId="9" fontId="13" fillId="25" borderId="94" xfId="63" applyFont="1" applyFill="1" applyBorder="1" applyAlignment="1">
      <alignment horizontal="center"/>
    </xf>
    <xf numFmtId="9" fontId="13" fillId="25" borderId="136" xfId="63" applyFont="1" applyFill="1" applyBorder="1" applyAlignment="1">
      <alignment horizontal="center"/>
    </xf>
    <xf numFmtId="9" fontId="13" fillId="25" borderId="126" xfId="63" applyFont="1" applyFill="1" applyBorder="1" applyAlignment="1">
      <alignment horizontal="center"/>
    </xf>
    <xf numFmtId="9" fontId="13" fillId="25" borderId="152" xfId="63" applyFont="1" applyFill="1" applyBorder="1" applyAlignment="1">
      <alignment horizontal="center"/>
    </xf>
    <xf numFmtId="189" fontId="0" fillId="0" borderId="0" xfId="63" applyNumberFormat="1" applyAlignment="1">
      <alignment/>
    </xf>
    <xf numFmtId="10" fontId="1" fillId="0" borderId="0" xfId="63" applyNumberFormat="1" applyFont="1" applyAlignment="1">
      <alignment horizontal="center"/>
    </xf>
    <xf numFmtId="196" fontId="0" fillId="0" borderId="0" xfId="63" applyNumberFormat="1" applyFont="1" applyAlignment="1">
      <alignment/>
    </xf>
    <xf numFmtId="10" fontId="0" fillId="0" borderId="0" xfId="63" applyNumberFormat="1" applyFont="1" applyAlignment="1">
      <alignment/>
    </xf>
    <xf numFmtId="0" fontId="1" fillId="0" borderId="0" xfId="63" applyNumberFormat="1" applyFont="1" applyAlignment="1">
      <alignment horizontal="center"/>
    </xf>
    <xf numFmtId="0" fontId="0" fillId="0" borderId="0" xfId="63" applyNumberFormat="1" applyFont="1" applyAlignment="1">
      <alignment/>
    </xf>
    <xf numFmtId="0" fontId="1" fillId="25" borderId="0" xfId="63" applyNumberFormat="1" applyFont="1" applyFill="1" applyAlignment="1">
      <alignment horizontal="center"/>
    </xf>
    <xf numFmtId="0" fontId="0" fillId="25" borderId="0" xfId="63" applyNumberFormat="1" applyFont="1" applyFill="1" applyAlignment="1">
      <alignment/>
    </xf>
    <xf numFmtId="9" fontId="14" fillId="7" borderId="65" xfId="63" applyFont="1" applyFill="1" applyBorder="1" applyAlignment="1">
      <alignment horizontal="center"/>
    </xf>
    <xf numFmtId="9" fontId="14" fillId="7" borderId="68" xfId="63" applyFont="1" applyFill="1" applyBorder="1" applyAlignment="1">
      <alignment horizontal="center"/>
    </xf>
    <xf numFmtId="9" fontId="14" fillId="0" borderId="12" xfId="63" applyFont="1" applyFill="1" applyBorder="1" applyAlignment="1">
      <alignment horizontal="center"/>
    </xf>
    <xf numFmtId="9" fontId="2" fillId="7" borderId="116" xfId="63" applyFont="1" applyFill="1" applyBorder="1" applyAlignment="1">
      <alignment horizontal="center"/>
    </xf>
    <xf numFmtId="9" fontId="2" fillId="7" borderId="68" xfId="63" applyNumberFormat="1" applyFont="1" applyFill="1" applyBorder="1" applyAlignment="1">
      <alignment horizontal="center"/>
    </xf>
    <xf numFmtId="9" fontId="2" fillId="7" borderId="128" xfId="63" applyNumberFormat="1" applyFont="1" applyFill="1" applyBorder="1" applyAlignment="1">
      <alignment horizontal="center"/>
    </xf>
    <xf numFmtId="9" fontId="14" fillId="0" borderId="71" xfId="63" applyFont="1" applyFill="1" applyBorder="1" applyAlignment="1">
      <alignment horizontal="center"/>
    </xf>
    <xf numFmtId="9" fontId="14" fillId="0" borderId="69" xfId="63" applyFont="1" applyFill="1" applyBorder="1" applyAlignment="1">
      <alignment horizontal="center"/>
    </xf>
    <xf numFmtId="9" fontId="14" fillId="0" borderId="0" xfId="63" applyFont="1" applyFill="1" applyBorder="1" applyAlignment="1">
      <alignment horizontal="center"/>
    </xf>
    <xf numFmtId="9" fontId="2" fillId="0" borderId="118" xfId="63" applyFont="1" applyFill="1" applyBorder="1" applyAlignment="1">
      <alignment horizontal="center"/>
    </xf>
    <xf numFmtId="9" fontId="2" fillId="0" borderId="69" xfId="63" applyNumberFormat="1" applyFont="1" applyFill="1" applyBorder="1" applyAlignment="1">
      <alignment horizontal="center"/>
    </xf>
    <xf numFmtId="9" fontId="2" fillId="0" borderId="78" xfId="63" applyNumberFormat="1" applyFont="1" applyFill="1" applyBorder="1" applyAlignment="1">
      <alignment horizontal="center"/>
    </xf>
    <xf numFmtId="9" fontId="14" fillId="7" borderId="118" xfId="63" applyFont="1" applyFill="1" applyBorder="1" applyAlignment="1">
      <alignment horizontal="center"/>
    </xf>
    <xf numFmtId="9" fontId="14" fillId="7" borderId="69" xfId="63" applyFont="1" applyFill="1" applyBorder="1" applyAlignment="1">
      <alignment horizontal="center"/>
    </xf>
    <xf numFmtId="9" fontId="2" fillId="7" borderId="118" xfId="63" applyFont="1" applyFill="1" applyBorder="1" applyAlignment="1">
      <alignment horizontal="center"/>
    </xf>
    <xf numFmtId="9" fontId="2" fillId="7" borderId="69" xfId="63" applyFont="1" applyFill="1" applyBorder="1" applyAlignment="1">
      <alignment horizontal="center"/>
    </xf>
    <xf numFmtId="9" fontId="2" fillId="7" borderId="78" xfId="63" applyFont="1" applyFill="1" applyBorder="1" applyAlignment="1">
      <alignment horizontal="center"/>
    </xf>
    <xf numFmtId="9" fontId="14" fillId="0" borderId="59" xfId="63" applyFont="1" applyFill="1" applyBorder="1" applyAlignment="1">
      <alignment horizontal="center"/>
    </xf>
    <xf numFmtId="9" fontId="14" fillId="0" borderId="62" xfId="63" applyNumberFormat="1" applyFont="1" applyFill="1" applyBorder="1" applyAlignment="1">
      <alignment horizontal="center"/>
    </xf>
    <xf numFmtId="9" fontId="2" fillId="0" borderId="59" xfId="63" applyFont="1" applyFill="1" applyBorder="1" applyAlignment="1">
      <alignment horizontal="center"/>
    </xf>
    <xf numFmtId="9" fontId="0" fillId="0" borderId="0" xfId="63" applyFill="1" applyBorder="1" applyAlignment="1">
      <alignment/>
    </xf>
    <xf numFmtId="9" fontId="2" fillId="0" borderId="62" xfId="63" applyFont="1" applyFill="1" applyBorder="1" applyAlignment="1">
      <alignment horizontal="center"/>
    </xf>
    <xf numFmtId="9" fontId="2" fillId="0" borderId="60" xfId="63" applyFont="1" applyFill="1" applyBorder="1" applyAlignment="1">
      <alignment horizontal="center"/>
    </xf>
    <xf numFmtId="9" fontId="14" fillId="0" borderId="0" xfId="63" applyFont="1" applyAlignment="1">
      <alignment horizontal="center"/>
    </xf>
    <xf numFmtId="9" fontId="14" fillId="0" borderId="0" xfId="63" applyNumberFormat="1" applyFont="1" applyAlignment="1">
      <alignment horizontal="center"/>
    </xf>
    <xf numFmtId="9" fontId="1" fillId="0" borderId="0" xfId="63" applyFont="1" applyAlignment="1">
      <alignment horizontal="center"/>
    </xf>
    <xf numFmtId="9" fontId="0" fillId="0" borderId="0" xfId="63" applyAlignment="1">
      <alignment/>
    </xf>
    <xf numFmtId="9" fontId="14" fillId="0" borderId="57" xfId="63" applyFont="1" applyFill="1" applyBorder="1" applyAlignment="1">
      <alignment horizontal="center"/>
    </xf>
    <xf numFmtId="9" fontId="14" fillId="0" borderId="118" xfId="63" applyFont="1" applyFill="1" applyBorder="1" applyAlignment="1">
      <alignment horizontal="center"/>
    </xf>
    <xf numFmtId="9" fontId="14" fillId="7" borderId="59" xfId="63" applyFont="1" applyFill="1" applyBorder="1" applyAlignment="1">
      <alignment horizontal="center"/>
    </xf>
    <xf numFmtId="9" fontId="14" fillId="7" borderId="102" xfId="63" applyNumberFormat="1" applyFont="1" applyFill="1" applyBorder="1" applyAlignment="1">
      <alignment horizontal="center"/>
    </xf>
    <xf numFmtId="9" fontId="1" fillId="0" borderId="95" xfId="63" applyFont="1" applyFill="1" applyBorder="1" applyAlignment="1">
      <alignment horizontal="center" vertical="center"/>
    </xf>
    <xf numFmtId="9" fontId="1" fillId="7" borderId="72" xfId="63" applyFont="1" applyFill="1" applyBorder="1" applyAlignment="1">
      <alignment horizontal="center" vertical="center"/>
    </xf>
    <xf numFmtId="9" fontId="1" fillId="0" borderId="72" xfId="63" applyFont="1" applyFill="1" applyBorder="1" applyAlignment="1">
      <alignment horizontal="center" vertical="center"/>
    </xf>
    <xf numFmtId="9" fontId="1" fillId="7" borderId="96" xfId="63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/>
    </xf>
    <xf numFmtId="188" fontId="12" fillId="24" borderId="0" xfId="0" applyNumberFormat="1" applyFont="1" applyFill="1" applyBorder="1" applyAlignment="1">
      <alignment horizontal="center"/>
    </xf>
    <xf numFmtId="3" fontId="12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9" fontId="14" fillId="25" borderId="116" xfId="63" applyNumberFormat="1" applyFont="1" applyFill="1" applyBorder="1" applyAlignment="1">
      <alignment horizontal="center"/>
    </xf>
    <xf numFmtId="9" fontId="14" fillId="25" borderId="139" xfId="63" applyNumberFormat="1" applyFont="1" applyFill="1" applyBorder="1" applyAlignment="1">
      <alignment horizontal="center"/>
    </xf>
    <xf numFmtId="9" fontId="14" fillId="25" borderId="68" xfId="63" applyNumberFormat="1" applyFont="1" applyFill="1" applyBorder="1" applyAlignment="1">
      <alignment horizontal="center"/>
    </xf>
    <xf numFmtId="9" fontId="14" fillId="25" borderId="128" xfId="63" applyNumberFormat="1" applyFont="1" applyFill="1" applyBorder="1" applyAlignment="1">
      <alignment horizontal="center"/>
    </xf>
    <xf numFmtId="9" fontId="14" fillId="7" borderId="71" xfId="63" applyNumberFormat="1" applyFont="1" applyFill="1" applyBorder="1" applyAlignment="1">
      <alignment horizontal="center"/>
    </xf>
    <xf numFmtId="9" fontId="14" fillId="7" borderId="123" xfId="63" applyNumberFormat="1" applyFont="1" applyFill="1" applyBorder="1" applyAlignment="1">
      <alignment horizontal="center"/>
    </xf>
    <xf numFmtId="9" fontId="14" fillId="25" borderId="71" xfId="63" applyFont="1" applyFill="1" applyBorder="1" applyAlignment="1">
      <alignment horizontal="center"/>
    </xf>
    <xf numFmtId="9" fontId="14" fillId="25" borderId="72" xfId="63" applyFont="1" applyFill="1" applyBorder="1" applyAlignment="1">
      <alignment horizontal="center"/>
    </xf>
    <xf numFmtId="9" fontId="14" fillId="25" borderId="123" xfId="63" applyFont="1" applyFill="1" applyBorder="1" applyAlignment="1">
      <alignment horizontal="center"/>
    </xf>
    <xf numFmtId="9" fontId="14" fillId="7" borderId="73" xfId="63" applyFont="1" applyFill="1" applyBorder="1" applyAlignment="1">
      <alignment horizontal="center"/>
    </xf>
    <xf numFmtId="9" fontId="14" fillId="7" borderId="120" xfId="63" applyFont="1" applyFill="1" applyBorder="1" applyAlignment="1">
      <alignment horizontal="center"/>
    </xf>
    <xf numFmtId="9" fontId="14" fillId="7" borderId="94" xfId="63" applyFont="1" applyFill="1" applyBorder="1" applyAlignment="1">
      <alignment horizontal="center"/>
    </xf>
    <xf numFmtId="9" fontId="14" fillId="7" borderId="125" xfId="63" applyFont="1" applyFill="1" applyBorder="1" applyAlignment="1">
      <alignment horizontal="center"/>
    </xf>
    <xf numFmtId="9" fontId="14" fillId="0" borderId="116" xfId="63" applyNumberFormat="1" applyFont="1" applyFill="1" applyBorder="1" applyAlignment="1">
      <alignment horizontal="center"/>
    </xf>
    <xf numFmtId="9" fontId="14" fillId="0" borderId="127" xfId="63" applyNumberFormat="1" applyFont="1" applyFill="1" applyBorder="1" applyAlignment="1">
      <alignment horizontal="center"/>
    </xf>
    <xf numFmtId="9" fontId="13" fillId="0" borderId="68" xfId="63" applyNumberFormat="1" applyFont="1" applyFill="1" applyBorder="1" applyAlignment="1">
      <alignment/>
    </xf>
    <xf numFmtId="9" fontId="13" fillId="0" borderId="128" xfId="63" applyFont="1" applyFill="1" applyBorder="1" applyAlignment="1">
      <alignment/>
    </xf>
    <xf numFmtId="9" fontId="33" fillId="25" borderId="12" xfId="63" applyFont="1" applyFill="1" applyBorder="1" applyAlignment="1">
      <alignment/>
    </xf>
    <xf numFmtId="9" fontId="32" fillId="25" borderId="15" xfId="63" applyFont="1" applyFill="1" applyBorder="1" applyAlignment="1">
      <alignment horizontal="center"/>
    </xf>
    <xf numFmtId="9" fontId="13" fillId="0" borderId="114" xfId="63" applyFont="1" applyFill="1" applyBorder="1" applyAlignment="1">
      <alignment/>
    </xf>
    <xf numFmtId="9" fontId="13" fillId="0" borderId="68" xfId="63" applyFont="1" applyFill="1" applyBorder="1" applyAlignment="1">
      <alignment/>
    </xf>
    <xf numFmtId="9" fontId="13" fillId="0" borderId="127" xfId="63" applyFont="1" applyFill="1" applyBorder="1" applyAlignment="1">
      <alignment/>
    </xf>
    <xf numFmtId="9" fontId="33" fillId="25" borderId="11" xfId="63" applyFont="1" applyFill="1" applyBorder="1" applyAlignment="1">
      <alignment/>
    </xf>
    <xf numFmtId="9" fontId="14" fillId="16" borderId="118" xfId="63" applyNumberFormat="1" applyFont="1" applyFill="1" applyBorder="1" applyAlignment="1">
      <alignment horizontal="center"/>
    </xf>
    <xf numFmtId="9" fontId="14" fillId="16" borderId="85" xfId="63" applyFont="1" applyFill="1" applyBorder="1" applyAlignment="1">
      <alignment horizontal="center"/>
    </xf>
    <xf numFmtId="9" fontId="13" fillId="16" borderId="69" xfId="63" applyFont="1" applyFill="1" applyBorder="1" applyAlignment="1">
      <alignment/>
    </xf>
    <xf numFmtId="9" fontId="13" fillId="16" borderId="129" xfId="63" applyFont="1" applyFill="1" applyBorder="1" applyAlignment="1">
      <alignment/>
    </xf>
    <xf numFmtId="9" fontId="32" fillId="25" borderId="19" xfId="63" applyFont="1" applyFill="1" applyBorder="1" applyAlignment="1">
      <alignment horizontal="center"/>
    </xf>
    <xf numFmtId="9" fontId="13" fillId="16" borderId="85" xfId="63" applyFont="1" applyFill="1" applyBorder="1" applyAlignment="1">
      <alignment/>
    </xf>
    <xf numFmtId="9" fontId="33" fillId="25" borderId="16" xfId="63" applyFont="1" applyFill="1" applyBorder="1" applyAlignment="1">
      <alignment/>
    </xf>
    <xf numFmtId="9" fontId="14" fillId="0" borderId="112" xfId="63" applyFont="1" applyFill="1" applyBorder="1" applyAlignment="1">
      <alignment horizontal="center"/>
    </xf>
    <xf numFmtId="9" fontId="13" fillId="0" borderId="72" xfId="63" applyFont="1" applyFill="1" applyBorder="1" applyAlignment="1">
      <alignment/>
    </xf>
    <xf numFmtId="9" fontId="13" fillId="0" borderId="124" xfId="63" applyFont="1" applyFill="1" applyBorder="1" applyAlignment="1">
      <alignment/>
    </xf>
    <xf numFmtId="9" fontId="33" fillId="25" borderId="0" xfId="63" applyFont="1" applyFill="1" applyBorder="1" applyAlignment="1">
      <alignment/>
    </xf>
    <xf numFmtId="9" fontId="13" fillId="0" borderId="112" xfId="63" applyFont="1" applyFill="1" applyBorder="1" applyAlignment="1">
      <alignment/>
    </xf>
    <xf numFmtId="9" fontId="14" fillId="16" borderId="73" xfId="63" applyFont="1" applyFill="1" applyBorder="1" applyAlignment="1">
      <alignment horizontal="center"/>
    </xf>
    <xf numFmtId="9" fontId="14" fillId="16" borderId="113" xfId="63" applyFont="1" applyFill="1" applyBorder="1" applyAlignment="1">
      <alignment horizontal="center"/>
    </xf>
    <xf numFmtId="9" fontId="13" fillId="16" borderId="94" xfId="63" applyFont="1" applyFill="1" applyBorder="1" applyAlignment="1">
      <alignment/>
    </xf>
    <xf numFmtId="9" fontId="13" fillId="16" borderId="126" xfId="63" applyFont="1" applyFill="1" applyBorder="1" applyAlignment="1">
      <alignment/>
    </xf>
    <xf numFmtId="9" fontId="13" fillId="16" borderId="113" xfId="63" applyFont="1" applyFill="1" applyBorder="1" applyAlignment="1">
      <alignment/>
    </xf>
    <xf numFmtId="0" fontId="0" fillId="0" borderId="0" xfId="63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9" fontId="2" fillId="0" borderId="0" xfId="63" applyNumberFormat="1" applyFont="1" applyAlignment="1">
      <alignment horizontal="center"/>
    </xf>
    <xf numFmtId="9" fontId="4" fillId="0" borderId="0" xfId="63" applyFont="1" applyAlignment="1">
      <alignment horizontal="center"/>
    </xf>
    <xf numFmtId="9" fontId="2" fillId="0" borderId="0" xfId="63" applyFont="1" applyAlignment="1">
      <alignment horizontal="center"/>
    </xf>
    <xf numFmtId="9" fontId="33" fillId="0" borderId="16" xfId="63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63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9" fontId="14" fillId="0" borderId="0" xfId="63" applyNumberFormat="1" applyFont="1" applyBorder="1" applyAlignment="1">
      <alignment horizontal="center"/>
    </xf>
    <xf numFmtId="189" fontId="14" fillId="0" borderId="0" xfId="63" applyNumberFormat="1" applyFont="1" applyFill="1" applyBorder="1" applyAlignment="1">
      <alignment horizontal="center"/>
    </xf>
    <xf numFmtId="9" fontId="14" fillId="0" borderId="153" xfId="63" applyNumberFormat="1" applyFont="1" applyFill="1" applyBorder="1" applyAlignment="1">
      <alignment horizontal="center"/>
    </xf>
    <xf numFmtId="189" fontId="14" fillId="0" borderId="68" xfId="63" applyNumberFormat="1" applyFont="1" applyFill="1" applyBorder="1" applyAlignment="1">
      <alignment horizontal="center"/>
    </xf>
    <xf numFmtId="9" fontId="14" fillId="0" borderId="68" xfId="63" applyNumberFormat="1" applyFont="1" applyFill="1" applyBorder="1" applyAlignment="1">
      <alignment horizontal="center"/>
    </xf>
    <xf numFmtId="189" fontId="14" fillId="0" borderId="128" xfId="63" applyNumberFormat="1" applyFont="1" applyFill="1" applyBorder="1" applyAlignment="1">
      <alignment horizontal="center"/>
    </xf>
    <xf numFmtId="9" fontId="14" fillId="0" borderId="128" xfId="63" applyNumberFormat="1" applyFont="1" applyFill="1" applyBorder="1" applyAlignment="1">
      <alignment horizontal="center"/>
    </xf>
    <xf numFmtId="185" fontId="0" fillId="16" borderId="0" xfId="0" applyNumberFormat="1" applyFill="1" applyBorder="1" applyAlignment="1">
      <alignment/>
    </xf>
    <xf numFmtId="189" fontId="14" fillId="16" borderId="0" xfId="63" applyNumberFormat="1" applyFont="1" applyFill="1" applyBorder="1" applyAlignment="1">
      <alignment horizontal="center"/>
    </xf>
    <xf numFmtId="9" fontId="14" fillId="16" borderId="102" xfId="63" applyNumberFormat="1" applyFont="1" applyFill="1" applyBorder="1" applyAlignment="1">
      <alignment horizontal="center"/>
    </xf>
    <xf numFmtId="9" fontId="14" fillId="16" borderId="69" xfId="63" applyNumberFormat="1" applyFont="1" applyFill="1" applyBorder="1" applyAlignment="1">
      <alignment horizontal="center"/>
    </xf>
    <xf numFmtId="9" fontId="14" fillId="16" borderId="78" xfId="63" applyNumberFormat="1" applyFont="1" applyFill="1" applyBorder="1" applyAlignment="1">
      <alignment horizontal="center"/>
    </xf>
    <xf numFmtId="9" fontId="14" fillId="0" borderId="102" xfId="63" applyNumberFormat="1" applyFont="1" applyFill="1" applyBorder="1" applyAlignment="1">
      <alignment horizontal="center"/>
    </xf>
    <xf numFmtId="9" fontId="14" fillId="0" borderId="69" xfId="63" applyNumberFormat="1" applyFont="1" applyFill="1" applyBorder="1" applyAlignment="1">
      <alignment horizontal="center"/>
    </xf>
    <xf numFmtId="9" fontId="14" fillId="0" borderId="118" xfId="63" applyNumberFormat="1" applyFont="1" applyFill="1" applyBorder="1" applyAlignment="1">
      <alignment horizontal="center"/>
    </xf>
    <xf numFmtId="9" fontId="14" fillId="0" borderId="78" xfId="63" applyNumberFormat="1" applyFont="1" applyFill="1" applyBorder="1" applyAlignment="1">
      <alignment horizontal="center"/>
    </xf>
    <xf numFmtId="189" fontId="14" fillId="0" borderId="78" xfId="63" applyNumberFormat="1" applyFont="1" applyFill="1" applyBorder="1" applyAlignment="1">
      <alignment horizontal="center"/>
    </xf>
    <xf numFmtId="9" fontId="14" fillId="16" borderId="136" xfId="63" applyNumberFormat="1" applyFont="1" applyFill="1" applyBorder="1" applyAlignment="1">
      <alignment horizontal="center"/>
    </xf>
    <xf numFmtId="9" fontId="14" fillId="16" borderId="94" xfId="63" applyNumberFormat="1" applyFont="1" applyFill="1" applyBorder="1" applyAlignment="1">
      <alignment horizontal="center"/>
    </xf>
    <xf numFmtId="9" fontId="14" fillId="16" borderId="73" xfId="63" applyNumberFormat="1" applyFont="1" applyFill="1" applyBorder="1" applyAlignment="1">
      <alignment horizontal="center"/>
    </xf>
    <xf numFmtId="9" fontId="14" fillId="16" borderId="125" xfId="63" applyNumberFormat="1" applyFont="1" applyFill="1" applyBorder="1" applyAlignment="1">
      <alignment horizontal="center"/>
    </xf>
    <xf numFmtId="185" fontId="0" fillId="0" borderId="0" xfId="0" applyNumberFormat="1" applyBorder="1" applyAlignment="1">
      <alignment/>
    </xf>
    <xf numFmtId="9" fontId="14" fillId="0" borderId="0" xfId="63" applyFont="1" applyBorder="1" applyAlignment="1">
      <alignment horizontal="center"/>
    </xf>
    <xf numFmtId="3" fontId="0" fillId="16" borderId="53" xfId="53" applyNumberFormat="1" applyFill="1" applyBorder="1" applyAlignment="1">
      <alignment horizontal="center" vertical="center"/>
    </xf>
    <xf numFmtId="9" fontId="0" fillId="0" borderId="0" xfId="63" applyFont="1" applyAlignment="1">
      <alignment horizontal="center"/>
    </xf>
    <xf numFmtId="3" fontId="0" fillId="0" borderId="53" xfId="53" applyNumberFormat="1" applyFill="1" applyBorder="1" applyAlignment="1">
      <alignment horizontal="center" vertical="center"/>
    </xf>
    <xf numFmtId="9" fontId="0" fillId="4" borderId="0" xfId="63" applyFont="1" applyFill="1" applyAlignment="1">
      <alignment horizontal="center"/>
    </xf>
    <xf numFmtId="3" fontId="0" fillId="0" borderId="60" xfId="53" applyNumberFormat="1" applyFill="1" applyBorder="1" applyAlignment="1">
      <alignment horizontal="center" vertical="center"/>
    </xf>
    <xf numFmtId="9" fontId="4" fillId="0" borderId="0" xfId="63" applyFont="1" applyFill="1" applyBorder="1" applyAlignment="1">
      <alignment horizontal="center"/>
    </xf>
    <xf numFmtId="9" fontId="2" fillId="16" borderId="53" xfId="63" applyFont="1" applyFill="1" applyBorder="1" applyAlignment="1">
      <alignment horizontal="center"/>
    </xf>
    <xf numFmtId="9" fontId="2" fillId="0" borderId="123" xfId="63" applyFont="1" applyFill="1" applyBorder="1" applyAlignment="1">
      <alignment horizontal="center"/>
    </xf>
    <xf numFmtId="9" fontId="13" fillId="0" borderId="0" xfId="63" applyFont="1" applyFill="1" applyBorder="1" applyAlignment="1">
      <alignment horizontal="center"/>
    </xf>
    <xf numFmtId="9" fontId="2" fillId="0" borderId="125" xfId="63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89" fontId="14" fillId="0" borderId="127" xfId="63" applyNumberFormat="1" applyFont="1" applyFill="1" applyBorder="1" applyAlignment="1">
      <alignment horizontal="center"/>
    </xf>
    <xf numFmtId="189" fontId="13" fillId="0" borderId="68" xfId="63" applyNumberFormat="1" applyFont="1" applyFill="1" applyBorder="1" applyAlignment="1">
      <alignment/>
    </xf>
    <xf numFmtId="9" fontId="14" fillId="7" borderId="118" xfId="63" applyNumberFormat="1" applyFont="1" applyFill="1" applyBorder="1" applyAlignment="1">
      <alignment horizontal="center"/>
    </xf>
    <xf numFmtId="9" fontId="14" fillId="7" borderId="85" xfId="63" applyFont="1" applyFill="1" applyBorder="1" applyAlignment="1">
      <alignment horizontal="center"/>
    </xf>
    <xf numFmtId="9" fontId="13" fillId="7" borderId="69" xfId="63" applyFont="1" applyFill="1" applyBorder="1" applyAlignment="1">
      <alignment/>
    </xf>
    <xf numFmtId="9" fontId="13" fillId="7" borderId="129" xfId="63" applyFont="1" applyFill="1" applyBorder="1" applyAlignment="1">
      <alignment/>
    </xf>
    <xf numFmtId="9" fontId="13" fillId="7" borderId="85" xfId="63" applyFont="1" applyFill="1" applyBorder="1" applyAlignment="1">
      <alignment/>
    </xf>
    <xf numFmtId="9" fontId="14" fillId="7" borderId="113" xfId="63" applyFont="1" applyFill="1" applyBorder="1" applyAlignment="1">
      <alignment horizontal="center"/>
    </xf>
    <xf numFmtId="9" fontId="13" fillId="7" borderId="94" xfId="63" applyFont="1" applyFill="1" applyBorder="1" applyAlignment="1">
      <alignment/>
    </xf>
    <xf numFmtId="9" fontId="13" fillId="7" borderId="126" xfId="63" applyFont="1" applyFill="1" applyBorder="1" applyAlignment="1">
      <alignment/>
    </xf>
    <xf numFmtId="9" fontId="13" fillId="7" borderId="113" xfId="63" applyFont="1" applyFill="1" applyBorder="1" applyAlignment="1">
      <alignment/>
    </xf>
    <xf numFmtId="9" fontId="33" fillId="0" borderId="0" xfId="63" applyFont="1" applyBorder="1" applyAlignment="1">
      <alignment/>
    </xf>
    <xf numFmtId="9" fontId="32" fillId="0" borderId="0" xfId="63" applyFont="1" applyBorder="1" applyAlignment="1">
      <alignment horizontal="center"/>
    </xf>
    <xf numFmtId="9" fontId="33" fillId="0" borderId="0" xfId="63" applyNumberFormat="1" applyFont="1" applyBorder="1" applyAlignment="1">
      <alignment/>
    </xf>
    <xf numFmtId="10" fontId="14" fillId="7" borderId="68" xfId="63" applyNumberFormat="1" applyFont="1" applyFill="1" applyBorder="1" applyAlignment="1">
      <alignment horizontal="center"/>
    </xf>
    <xf numFmtId="189" fontId="14" fillId="7" borderId="116" xfId="63" applyNumberFormat="1" applyFont="1" applyFill="1" applyBorder="1" applyAlignment="1">
      <alignment horizontal="center"/>
    </xf>
    <xf numFmtId="189" fontId="14" fillId="7" borderId="68" xfId="63" applyNumberFormat="1" applyFont="1" applyFill="1" applyBorder="1" applyAlignment="1">
      <alignment horizontal="center"/>
    </xf>
    <xf numFmtId="9" fontId="14" fillId="7" borderId="69" xfId="63" applyNumberFormat="1" applyFont="1" applyFill="1" applyBorder="1" applyAlignment="1">
      <alignment horizontal="center"/>
    </xf>
    <xf numFmtId="9" fontId="14" fillId="7" borderId="78" xfId="63" applyNumberFormat="1" applyFont="1" applyFill="1" applyBorder="1" applyAlignment="1">
      <alignment horizontal="center"/>
    </xf>
    <xf numFmtId="9" fontId="14" fillId="0" borderId="136" xfId="63" applyNumberFormat="1" applyFont="1" applyFill="1" applyBorder="1" applyAlignment="1">
      <alignment horizontal="center"/>
    </xf>
    <xf numFmtId="9" fontId="14" fillId="0" borderId="94" xfId="63" applyNumberFormat="1" applyFont="1" applyFill="1" applyBorder="1" applyAlignment="1">
      <alignment horizontal="center"/>
    </xf>
    <xf numFmtId="9" fontId="14" fillId="0" borderId="73" xfId="63" applyNumberFormat="1" applyFont="1" applyFill="1" applyBorder="1" applyAlignment="1">
      <alignment horizontal="center"/>
    </xf>
    <xf numFmtId="9" fontId="14" fillId="0" borderId="125" xfId="63" applyNumberFormat="1" applyFont="1" applyFill="1" applyBorder="1" applyAlignment="1">
      <alignment horizontal="center"/>
    </xf>
    <xf numFmtId="10" fontId="14" fillId="0" borderId="116" xfId="63" applyNumberFormat="1" applyFont="1" applyFill="1" applyBorder="1" applyAlignment="1">
      <alignment horizontal="center"/>
    </xf>
    <xf numFmtId="189" fontId="13" fillId="0" borderId="128" xfId="63" applyNumberFormat="1" applyFont="1" applyFill="1" applyBorder="1" applyAlignment="1">
      <alignment/>
    </xf>
    <xf numFmtId="9" fontId="13" fillId="25" borderId="12" xfId="63" applyNumberFormat="1" applyFont="1" applyFill="1" applyBorder="1" applyAlignment="1">
      <alignment/>
    </xf>
    <xf numFmtId="9" fontId="14" fillId="25" borderId="12" xfId="63" applyNumberFormat="1" applyFont="1" applyFill="1" applyBorder="1" applyAlignment="1">
      <alignment horizontal="center"/>
    </xf>
    <xf numFmtId="189" fontId="13" fillId="0" borderId="139" xfId="63" applyNumberFormat="1" applyFont="1" applyFill="1" applyBorder="1" applyAlignment="1">
      <alignment/>
    </xf>
    <xf numFmtId="9" fontId="13" fillId="7" borderId="72" xfId="63" applyFont="1" applyFill="1" applyBorder="1" applyAlignment="1">
      <alignment/>
    </xf>
    <xf numFmtId="9" fontId="13" fillId="7" borderId="123" xfId="63" applyFont="1" applyFill="1" applyBorder="1" applyAlignment="1">
      <alignment/>
    </xf>
    <xf numFmtId="9" fontId="13" fillId="25" borderId="0" xfId="63" applyFont="1" applyFill="1" applyBorder="1" applyAlignment="1">
      <alignment/>
    </xf>
    <xf numFmtId="9" fontId="14" fillId="25" borderId="19" xfId="63" applyFont="1" applyFill="1" applyBorder="1" applyAlignment="1">
      <alignment horizontal="center"/>
    </xf>
    <xf numFmtId="9" fontId="13" fillId="7" borderId="70" xfId="63" applyFont="1" applyFill="1" applyBorder="1" applyAlignment="1">
      <alignment/>
    </xf>
    <xf numFmtId="9" fontId="14" fillId="0" borderId="124" xfId="63" applyFont="1" applyFill="1" applyBorder="1" applyAlignment="1">
      <alignment horizontal="center"/>
    </xf>
    <xf numFmtId="9" fontId="13" fillId="0" borderId="123" xfId="63" applyFont="1" applyFill="1" applyBorder="1" applyAlignment="1">
      <alignment/>
    </xf>
    <xf numFmtId="9" fontId="13" fillId="0" borderId="70" xfId="63" applyFont="1" applyFill="1" applyBorder="1" applyAlignment="1">
      <alignment/>
    </xf>
    <xf numFmtId="9" fontId="14" fillId="7" borderId="126" xfId="63" applyFont="1" applyFill="1" applyBorder="1" applyAlignment="1">
      <alignment horizontal="center"/>
    </xf>
    <xf numFmtId="9" fontId="13" fillId="7" borderId="125" xfId="63" applyFont="1" applyFill="1" applyBorder="1" applyAlignment="1">
      <alignment/>
    </xf>
    <xf numFmtId="9" fontId="14" fillId="25" borderId="0" xfId="63" applyFont="1" applyFill="1" applyBorder="1" applyAlignment="1">
      <alignment horizontal="center"/>
    </xf>
    <xf numFmtId="9" fontId="13" fillId="7" borderId="120" xfId="63" applyFont="1" applyFill="1" applyBorder="1" applyAlignment="1">
      <alignment/>
    </xf>
    <xf numFmtId="9" fontId="32" fillId="0" borderId="116" xfId="63" applyNumberFormat="1" applyFont="1" applyFill="1" applyBorder="1" applyAlignment="1">
      <alignment horizontal="center"/>
    </xf>
    <xf numFmtId="9" fontId="32" fillId="0" borderId="127" xfId="63" applyNumberFormat="1" applyFont="1" applyFill="1" applyBorder="1" applyAlignment="1">
      <alignment horizontal="center"/>
    </xf>
    <xf numFmtId="9" fontId="13" fillId="0" borderId="128" xfId="63" applyNumberFormat="1" applyFont="1" applyFill="1" applyBorder="1" applyAlignment="1">
      <alignment/>
    </xf>
    <xf numFmtId="9" fontId="13" fillId="0" borderId="139" xfId="63" applyNumberFormat="1" applyFont="1" applyFill="1" applyBorder="1" applyAlignment="1">
      <alignment/>
    </xf>
    <xf numFmtId="189" fontId="13" fillId="7" borderId="94" xfId="63" applyNumberFormat="1" applyFont="1" applyFill="1" applyBorder="1" applyAlignment="1">
      <alignment/>
    </xf>
    <xf numFmtId="10" fontId="14" fillId="7" borderId="116" xfId="63" applyNumberFormat="1" applyFont="1" applyFill="1" applyBorder="1" applyAlignment="1">
      <alignment horizontal="center"/>
    </xf>
    <xf numFmtId="189" fontId="14" fillId="7" borderId="128" xfId="63" applyNumberFormat="1" applyFont="1" applyFill="1" applyBorder="1" applyAlignment="1">
      <alignment horizontal="center"/>
    </xf>
    <xf numFmtId="9" fontId="2" fillId="7" borderId="159" xfId="63" applyFont="1" applyFill="1" applyBorder="1" applyAlignment="1">
      <alignment horizontal="center"/>
    </xf>
    <xf numFmtId="9" fontId="14" fillId="7" borderId="160" xfId="63" applyFont="1" applyFill="1" applyBorder="1" applyAlignment="1">
      <alignment horizontal="center"/>
    </xf>
    <xf numFmtId="9" fontId="13" fillId="7" borderId="0" xfId="63" applyNumberFormat="1" applyFont="1" applyFill="1" applyBorder="1" applyAlignment="1">
      <alignment horizontal="center"/>
    </xf>
    <xf numFmtId="9" fontId="13" fillId="7" borderId="37" xfId="63" applyFont="1" applyFill="1" applyBorder="1" applyAlignment="1">
      <alignment horizontal="center"/>
    </xf>
    <xf numFmtId="9" fontId="14" fillId="7" borderId="65" xfId="63" applyNumberFormat="1" applyFont="1" applyFill="1" applyBorder="1" applyAlignment="1">
      <alignment horizontal="center"/>
    </xf>
    <xf numFmtId="189" fontId="13" fillId="7" borderId="0" xfId="63" applyNumberFormat="1" applyFont="1" applyFill="1" applyBorder="1" applyAlignment="1">
      <alignment horizontal="center"/>
    </xf>
    <xf numFmtId="9" fontId="0" fillId="7" borderId="72" xfId="63" applyFont="1" applyFill="1" applyBorder="1" applyAlignment="1">
      <alignment horizontal="center"/>
    </xf>
    <xf numFmtId="9" fontId="13" fillId="7" borderId="51" xfId="63" applyNumberFormat="1" applyFont="1" applyFill="1" applyBorder="1" applyAlignment="1">
      <alignment horizontal="center"/>
    </xf>
    <xf numFmtId="9" fontId="13" fillId="7" borderId="53" xfId="63" applyFont="1" applyFill="1" applyBorder="1" applyAlignment="1">
      <alignment horizontal="center"/>
    </xf>
    <xf numFmtId="9" fontId="2" fillId="25" borderId="161" xfId="63" applyFont="1" applyFill="1" applyBorder="1" applyAlignment="1">
      <alignment horizontal="center"/>
    </xf>
    <xf numFmtId="9" fontId="14" fillId="25" borderId="162" xfId="63" applyFont="1" applyFill="1" applyBorder="1" applyAlignment="1">
      <alignment horizontal="center"/>
    </xf>
    <xf numFmtId="9" fontId="13" fillId="25" borderId="112" xfId="63" applyFont="1" applyFill="1" applyBorder="1" applyAlignment="1">
      <alignment horizontal="center"/>
    </xf>
    <xf numFmtId="9" fontId="13" fillId="25" borderId="72" xfId="63" applyFont="1" applyFill="1" applyBorder="1" applyAlignment="1">
      <alignment horizontal="center"/>
    </xf>
    <xf numFmtId="9" fontId="0" fillId="25" borderId="72" xfId="63" applyFont="1" applyFill="1" applyBorder="1" applyAlignment="1">
      <alignment horizontal="center"/>
    </xf>
    <xf numFmtId="9" fontId="13" fillId="25" borderId="154" xfId="63" applyFont="1" applyFill="1" applyBorder="1" applyAlignment="1">
      <alignment horizontal="center"/>
    </xf>
    <xf numFmtId="9" fontId="2" fillId="7" borderId="144" xfId="63" applyFont="1" applyFill="1" applyBorder="1" applyAlignment="1">
      <alignment horizontal="center"/>
    </xf>
    <xf numFmtId="9" fontId="14" fillId="7" borderId="162" xfId="63" applyFont="1" applyFill="1" applyBorder="1" applyAlignment="1">
      <alignment horizontal="center"/>
    </xf>
    <xf numFmtId="189" fontId="14" fillId="7" borderId="71" xfId="63" applyNumberFormat="1" applyFont="1" applyFill="1" applyBorder="1" applyAlignment="1">
      <alignment horizontal="center"/>
    </xf>
    <xf numFmtId="9" fontId="13" fillId="7" borderId="123" xfId="63" applyFont="1" applyFill="1" applyBorder="1" applyAlignment="1">
      <alignment horizontal="center"/>
    </xf>
    <xf numFmtId="9" fontId="2" fillId="25" borderId="163" xfId="63" applyFont="1" applyFill="1" applyBorder="1" applyAlignment="1">
      <alignment horizontal="center"/>
    </xf>
    <xf numFmtId="9" fontId="14" fillId="25" borderId="151" xfId="63" applyFont="1" applyFill="1" applyBorder="1" applyAlignment="1">
      <alignment horizontal="center"/>
    </xf>
    <xf numFmtId="9" fontId="13" fillId="25" borderId="21" xfId="63" applyFont="1" applyFill="1" applyBorder="1" applyAlignment="1">
      <alignment horizontal="center"/>
    </xf>
    <xf numFmtId="9" fontId="13" fillId="25" borderId="62" xfId="63" applyFont="1" applyFill="1" applyBorder="1" applyAlignment="1">
      <alignment horizontal="center"/>
    </xf>
    <xf numFmtId="9" fontId="14" fillId="25" borderId="59" xfId="63" applyFont="1" applyFill="1" applyBorder="1" applyAlignment="1">
      <alignment horizontal="center"/>
    </xf>
    <xf numFmtId="9" fontId="0" fillId="25" borderId="62" xfId="63" applyFont="1" applyFill="1" applyBorder="1" applyAlignment="1">
      <alignment horizontal="center"/>
    </xf>
    <xf numFmtId="9" fontId="13" fillId="25" borderId="45" xfId="63" applyFont="1" applyFill="1" applyBorder="1" applyAlignment="1">
      <alignment horizontal="center"/>
    </xf>
    <xf numFmtId="9" fontId="2" fillId="0" borderId="37" xfId="63" applyFont="1" applyFill="1" applyBorder="1" applyAlignment="1">
      <alignment horizontal="center"/>
    </xf>
    <xf numFmtId="9" fontId="2" fillId="16" borderId="72" xfId="63" applyFont="1" applyFill="1" applyBorder="1" applyAlignment="1">
      <alignment horizontal="center"/>
    </xf>
    <xf numFmtId="194" fontId="0" fillId="0" borderId="0" xfId="53" applyNumberFormat="1" applyFont="1" applyAlignment="1">
      <alignment/>
    </xf>
    <xf numFmtId="9" fontId="2" fillId="16" borderId="37" xfId="63" applyFont="1" applyFill="1" applyBorder="1" applyAlignment="1">
      <alignment horizontal="center"/>
    </xf>
    <xf numFmtId="9" fontId="2" fillId="0" borderId="72" xfId="63" applyFont="1" applyFill="1" applyBorder="1" applyAlignment="1">
      <alignment horizontal="center"/>
    </xf>
    <xf numFmtId="9" fontId="1" fillId="0" borderId="142" xfId="63" applyFont="1" applyFill="1" applyBorder="1" applyAlignment="1">
      <alignment horizontal="center"/>
    </xf>
    <xf numFmtId="189" fontId="1" fillId="17" borderId="34" xfId="63" applyNumberFormat="1" applyFont="1" applyFill="1" applyBorder="1" applyAlignment="1">
      <alignment horizontal="center"/>
    </xf>
    <xf numFmtId="189" fontId="1" fillId="17" borderId="164" xfId="63" applyNumberFormat="1" applyFont="1" applyFill="1" applyBorder="1" applyAlignment="1">
      <alignment horizontal="center"/>
    </xf>
    <xf numFmtId="3" fontId="0" fillId="0" borderId="0" xfId="63" applyNumberFormat="1" applyFont="1" applyAlignment="1">
      <alignment/>
    </xf>
    <xf numFmtId="189" fontId="1" fillId="17" borderId="18" xfId="63" applyNumberFormat="1" applyFont="1" applyFill="1" applyBorder="1" applyAlignment="1">
      <alignment horizontal="center"/>
    </xf>
    <xf numFmtId="189" fontId="1" fillId="17" borderId="19" xfId="63" applyNumberFormat="1" applyFont="1" applyFill="1" applyBorder="1" applyAlignment="1">
      <alignment horizontal="center"/>
    </xf>
    <xf numFmtId="3" fontId="12" fillId="0" borderId="0" xfId="63" applyNumberFormat="1" applyFont="1" applyAlignment="1">
      <alignment/>
    </xf>
    <xf numFmtId="9" fontId="0" fillId="25" borderId="18" xfId="63" applyFont="1" applyFill="1" applyBorder="1" applyAlignment="1">
      <alignment/>
    </xf>
    <xf numFmtId="9" fontId="0" fillId="25" borderId="19" xfId="63" applyFont="1" applyFill="1" applyBorder="1" applyAlignment="1">
      <alignment/>
    </xf>
    <xf numFmtId="9" fontId="0" fillId="0" borderId="0" xfId="63" applyNumberFormat="1" applyFont="1" applyAlignment="1">
      <alignment/>
    </xf>
    <xf numFmtId="9" fontId="0" fillId="26" borderId="0" xfId="63" applyNumberFormat="1" applyFont="1" applyFill="1" applyAlignment="1">
      <alignment/>
    </xf>
    <xf numFmtId="9" fontId="0" fillId="26" borderId="0" xfId="63" applyFont="1" applyFill="1" applyAlignment="1">
      <alignment/>
    </xf>
    <xf numFmtId="3" fontId="0" fillId="0" borderId="0" xfId="0" applyNumberFormat="1" applyFont="1" applyAlignment="1">
      <alignment/>
    </xf>
    <xf numFmtId="189" fontId="0" fillId="25" borderId="18" xfId="63" applyNumberFormat="1" applyFont="1" applyFill="1" applyBorder="1" applyAlignment="1">
      <alignment horizontal="center"/>
    </xf>
    <xf numFmtId="188" fontId="4" fillId="25" borderId="18" xfId="63" applyNumberFormat="1" applyFont="1" applyFill="1" applyBorder="1" applyAlignment="1">
      <alignment horizontal="center"/>
    </xf>
    <xf numFmtId="189" fontId="0" fillId="25" borderId="19" xfId="63" applyNumberFormat="1" applyFont="1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3" fontId="1" fillId="25" borderId="20" xfId="0" applyNumberFormat="1" applyFont="1" applyFill="1" applyBorder="1" applyAlignment="1">
      <alignment horizontal="center"/>
    </xf>
    <xf numFmtId="3" fontId="0" fillId="25" borderId="61" xfId="0" applyNumberFormat="1" applyFill="1" applyBorder="1" applyAlignment="1">
      <alignment horizontal="center"/>
    </xf>
    <xf numFmtId="3" fontId="0" fillId="25" borderId="62" xfId="0" applyNumberFormat="1" applyFill="1" applyBorder="1" applyAlignment="1">
      <alignment horizontal="center"/>
    </xf>
    <xf numFmtId="3" fontId="0" fillId="25" borderId="60" xfId="0" applyNumberFormat="1" applyFill="1" applyBorder="1" applyAlignment="1">
      <alignment horizontal="center"/>
    </xf>
    <xf numFmtId="9" fontId="14" fillId="7" borderId="102" xfId="61" applyNumberFormat="1" applyFont="1" applyFill="1" applyBorder="1" applyAlignment="1">
      <alignment horizontal="center"/>
    </xf>
    <xf numFmtId="9" fontId="14" fillId="25" borderId="154" xfId="61" applyFont="1" applyFill="1" applyBorder="1" applyAlignment="1">
      <alignment horizontal="center"/>
    </xf>
    <xf numFmtId="9" fontId="14" fillId="7" borderId="45" xfId="61" applyFont="1" applyFill="1" applyBorder="1" applyAlignment="1">
      <alignment horizontal="center"/>
    </xf>
    <xf numFmtId="189" fontId="0" fillId="0" borderId="0" xfId="61" applyNumberFormat="1" applyAlignment="1">
      <alignment/>
    </xf>
    <xf numFmtId="192" fontId="0" fillId="0" borderId="0" xfId="61" applyNumberFormat="1" applyFont="1" applyAlignment="1">
      <alignment/>
    </xf>
    <xf numFmtId="0" fontId="1" fillId="16" borderId="35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122" xfId="0" applyFont="1" applyFill="1" applyBorder="1" applyAlignment="1">
      <alignment horizontal="center"/>
    </xf>
    <xf numFmtId="0" fontId="1" fillId="16" borderId="165" xfId="0" applyFont="1" applyFill="1" applyBorder="1" applyAlignment="1">
      <alignment horizontal="center"/>
    </xf>
    <xf numFmtId="0" fontId="1" fillId="16" borderId="77" xfId="0" applyFont="1" applyFill="1" applyBorder="1" applyAlignment="1">
      <alignment horizontal="center"/>
    </xf>
    <xf numFmtId="0" fontId="1" fillId="16" borderId="166" xfId="0" applyFont="1" applyFill="1" applyBorder="1" applyAlignment="1">
      <alignment horizontal="center"/>
    </xf>
    <xf numFmtId="3" fontId="1" fillId="16" borderId="16" xfId="0" applyNumberFormat="1" applyFont="1" applyFill="1" applyBorder="1" applyAlignment="1">
      <alignment/>
    </xf>
    <xf numFmtId="3" fontId="1" fillId="16" borderId="138" xfId="0" applyNumberFormat="1" applyFont="1" applyFill="1" applyBorder="1" applyAlignment="1">
      <alignment/>
    </xf>
    <xf numFmtId="3" fontId="14" fillId="16" borderId="16" xfId="0" applyNumberFormat="1" applyFont="1" applyFill="1" applyBorder="1" applyAlignment="1">
      <alignment/>
    </xf>
    <xf numFmtId="3" fontId="14" fillId="16" borderId="53" xfId="0" applyNumberFormat="1" applyFont="1" applyFill="1" applyBorder="1" applyAlignment="1">
      <alignment/>
    </xf>
    <xf numFmtId="3" fontId="14" fillId="16" borderId="5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3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1" fillId="17" borderId="165" xfId="0" applyFont="1" applyFill="1" applyBorder="1" applyAlignment="1">
      <alignment horizontal="center" vertical="center"/>
    </xf>
    <xf numFmtId="0" fontId="0" fillId="17" borderId="77" xfId="0" applyFont="1" applyFill="1" applyBorder="1" applyAlignment="1">
      <alignment horizontal="center" vertical="center"/>
    </xf>
    <xf numFmtId="0" fontId="0" fillId="17" borderId="166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3" fontId="14" fillId="0" borderId="5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center"/>
    </xf>
    <xf numFmtId="0" fontId="1" fillId="17" borderId="58" xfId="0" applyFont="1" applyFill="1" applyBorder="1" applyAlignment="1">
      <alignment horizontal="center" vertical="center" wrapText="1"/>
    </xf>
    <xf numFmtId="0" fontId="0" fillId="17" borderId="53" xfId="0" applyFont="1" applyFill="1" applyBorder="1" applyAlignment="1">
      <alignment wrapText="1"/>
    </xf>
    <xf numFmtId="0" fontId="0" fillId="17" borderId="74" xfId="0" applyFont="1" applyFill="1" applyBorder="1" applyAlignment="1">
      <alignment wrapText="1"/>
    </xf>
    <xf numFmtId="0" fontId="12" fillId="25" borderId="0" xfId="0" applyFon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1" fillId="17" borderId="11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167" xfId="0" applyFont="1" applyFill="1" applyBorder="1" applyAlignment="1">
      <alignment horizontal="center"/>
    </xf>
    <xf numFmtId="0" fontId="0" fillId="17" borderId="77" xfId="0" applyFont="1" applyFill="1" applyBorder="1" applyAlignment="1">
      <alignment horizontal="center"/>
    </xf>
    <xf numFmtId="0" fontId="0" fillId="17" borderId="166" xfId="0" applyFont="1" applyFill="1" applyBorder="1" applyAlignment="1">
      <alignment horizontal="center"/>
    </xf>
    <xf numFmtId="0" fontId="1" fillId="17" borderId="165" xfId="0" applyFont="1" applyFill="1" applyBorder="1" applyAlignment="1">
      <alignment horizontal="center"/>
    </xf>
    <xf numFmtId="0" fontId="0" fillId="17" borderId="40" xfId="0" applyFont="1" applyFill="1" applyBorder="1" applyAlignment="1">
      <alignment horizontal="center"/>
    </xf>
    <xf numFmtId="4" fontId="14" fillId="17" borderId="121" xfId="0" applyNumberFormat="1" applyFont="1" applyFill="1" applyBorder="1" applyAlignment="1">
      <alignment horizontal="center"/>
    </xf>
    <xf numFmtId="4" fontId="14" fillId="17" borderId="30" xfId="0" applyNumberFormat="1" applyFont="1" applyFill="1" applyBorder="1" applyAlignment="1">
      <alignment horizontal="center"/>
    </xf>
    <xf numFmtId="0" fontId="23" fillId="17" borderId="83" xfId="0" applyFont="1" applyFill="1" applyBorder="1" applyAlignment="1">
      <alignment horizontal="center"/>
    </xf>
    <xf numFmtId="0" fontId="0" fillId="17" borderId="155" xfId="0" applyFont="1" applyFill="1" applyBorder="1" applyAlignment="1">
      <alignment horizontal="center"/>
    </xf>
    <xf numFmtId="0" fontId="0" fillId="17" borderId="156" xfId="0" applyFont="1" applyFill="1" applyBorder="1" applyAlignment="1">
      <alignment horizontal="center"/>
    </xf>
    <xf numFmtId="0" fontId="1" fillId="17" borderId="83" xfId="0" applyFont="1" applyFill="1" applyBorder="1" applyAlignment="1">
      <alignment horizontal="center" vertical="center"/>
    </xf>
    <xf numFmtId="0" fontId="0" fillId="17" borderId="155" xfId="0" applyFont="1" applyFill="1" applyBorder="1" applyAlignment="1">
      <alignment horizontal="center" vertical="center"/>
    </xf>
    <xf numFmtId="0" fontId="0" fillId="17" borderId="156" xfId="0" applyFont="1" applyFill="1" applyBorder="1" applyAlignment="1">
      <alignment horizontal="center" vertical="center"/>
    </xf>
    <xf numFmtId="0" fontId="23" fillId="17" borderId="15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" fontId="14" fillId="17" borderId="122" xfId="0" applyNumberFormat="1" applyFont="1" applyFill="1" applyBorder="1" applyAlignment="1">
      <alignment horizontal="center"/>
    </xf>
    <xf numFmtId="0" fontId="14" fillId="17" borderId="42" xfId="0" applyFont="1" applyFill="1" applyBorder="1" applyAlignment="1">
      <alignment horizontal="center"/>
    </xf>
    <xf numFmtId="0" fontId="14" fillId="17" borderId="77" xfId="0" applyFont="1" applyFill="1" applyBorder="1" applyAlignment="1">
      <alignment horizontal="center"/>
    </xf>
    <xf numFmtId="0" fontId="14" fillId="17" borderId="40" xfId="0" applyFont="1" applyFill="1" applyBorder="1" applyAlignment="1">
      <alignment horizontal="center"/>
    </xf>
    <xf numFmtId="0" fontId="14" fillId="17" borderId="41" xfId="0" applyFont="1" applyFill="1" applyBorder="1" applyAlignment="1">
      <alignment horizontal="center"/>
    </xf>
    <xf numFmtId="0" fontId="14" fillId="17" borderId="4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7" borderId="165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  <xf numFmtId="0" fontId="14" fillId="7" borderId="77" xfId="0" applyFont="1" applyFill="1" applyBorder="1" applyAlignment="1">
      <alignment horizontal="center"/>
    </xf>
    <xf numFmtId="0" fontId="14" fillId="7" borderId="168" xfId="0" applyFont="1" applyFill="1" applyBorder="1" applyAlignment="1">
      <alignment horizontal="center"/>
    </xf>
    <xf numFmtId="0" fontId="14" fillId="7" borderId="41" xfId="0" applyFont="1" applyFill="1" applyBorder="1" applyAlignment="1">
      <alignment horizontal="center"/>
    </xf>
    <xf numFmtId="0" fontId="14" fillId="7" borderId="64" xfId="0" applyFont="1" applyFill="1" applyBorder="1" applyAlignment="1">
      <alignment horizontal="center"/>
    </xf>
    <xf numFmtId="0" fontId="14" fillId="7" borderId="43" xfId="0" applyFont="1" applyFill="1" applyBorder="1" applyAlignment="1">
      <alignment horizontal="center"/>
    </xf>
    <xf numFmtId="0" fontId="14" fillId="7" borderId="166" xfId="0" applyFont="1" applyFill="1" applyBorder="1" applyAlignment="1">
      <alignment horizontal="center"/>
    </xf>
    <xf numFmtId="0" fontId="1" fillId="16" borderId="9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91" xfId="0" applyFont="1" applyFill="1" applyBorder="1" applyAlignment="1">
      <alignment horizontal="center"/>
    </xf>
    <xf numFmtId="0" fontId="1" fillId="16" borderId="107" xfId="0" applyFont="1" applyFill="1" applyBorder="1" applyAlignment="1">
      <alignment horizontal="center"/>
    </xf>
    <xf numFmtId="0" fontId="1" fillId="16" borderId="106" xfId="0" applyFont="1" applyFill="1" applyBorder="1" applyAlignment="1">
      <alignment horizontal="center"/>
    </xf>
    <xf numFmtId="0" fontId="1" fillId="16" borderId="67" xfId="0" applyFont="1" applyFill="1" applyBorder="1" applyAlignment="1">
      <alignment horizontal="center"/>
    </xf>
    <xf numFmtId="0" fontId="14" fillId="16" borderId="77" xfId="0" applyFont="1" applyFill="1" applyBorder="1" applyAlignment="1">
      <alignment horizontal="center"/>
    </xf>
    <xf numFmtId="0" fontId="14" fillId="16" borderId="166" xfId="0" applyFont="1" applyFill="1" applyBorder="1" applyAlignment="1">
      <alignment horizontal="center"/>
    </xf>
    <xf numFmtId="0" fontId="14" fillId="16" borderId="42" xfId="0" applyFont="1" applyFill="1" applyBorder="1" applyAlignment="1">
      <alignment horizontal="center"/>
    </xf>
    <xf numFmtId="0" fontId="14" fillId="16" borderId="40" xfId="0" applyFont="1" applyFill="1" applyBorder="1" applyAlignment="1">
      <alignment horizontal="center"/>
    </xf>
    <xf numFmtId="0" fontId="14" fillId="16" borderId="41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4" fontId="14" fillId="16" borderId="121" xfId="0" applyNumberFormat="1" applyFont="1" applyFill="1" applyBorder="1" applyAlignment="1">
      <alignment horizontal="center"/>
    </xf>
    <xf numFmtId="4" fontId="14" fillId="16" borderId="30" xfId="0" applyNumberFormat="1" applyFont="1" applyFill="1" applyBorder="1" applyAlignment="1">
      <alignment horizontal="center"/>
    </xf>
    <xf numFmtId="0" fontId="14" fillId="16" borderId="43" xfId="0" applyFont="1" applyFill="1" applyBorder="1" applyAlignment="1">
      <alignment horizontal="center"/>
    </xf>
    <xf numFmtId="0" fontId="1" fillId="17" borderId="90" xfId="0" applyFont="1" applyFill="1" applyBorder="1" applyAlignment="1">
      <alignment horizontal="center"/>
    </xf>
    <xf numFmtId="0" fontId="1" fillId="17" borderId="108" xfId="0" applyFont="1" applyFill="1" applyBorder="1" applyAlignment="1">
      <alignment horizontal="center"/>
    </xf>
    <xf numFmtId="0" fontId="1" fillId="17" borderId="91" xfId="0" applyFont="1" applyFill="1" applyBorder="1" applyAlignment="1">
      <alignment horizontal="center"/>
    </xf>
    <xf numFmtId="0" fontId="1" fillId="17" borderId="107" xfId="0" applyFont="1" applyFill="1" applyBorder="1" applyAlignment="1">
      <alignment horizontal="center"/>
    </xf>
    <xf numFmtId="0" fontId="1" fillId="17" borderId="67" xfId="0" applyFont="1" applyFill="1" applyBorder="1" applyAlignment="1">
      <alignment horizontal="center"/>
    </xf>
    <xf numFmtId="0" fontId="1" fillId="17" borderId="106" xfId="0" applyFont="1" applyFill="1" applyBorder="1" applyAlignment="1">
      <alignment horizontal="center"/>
    </xf>
    <xf numFmtId="0" fontId="14" fillId="17" borderId="165" xfId="0" applyFont="1" applyFill="1" applyBorder="1" applyAlignment="1">
      <alignment horizontal="center"/>
    </xf>
    <xf numFmtId="0" fontId="14" fillId="17" borderId="166" xfId="0" applyFont="1" applyFill="1" applyBorder="1" applyAlignment="1">
      <alignment horizontal="center"/>
    </xf>
    <xf numFmtId="0" fontId="14" fillId="17" borderId="168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4" fontId="37" fillId="24" borderId="0" xfId="0" applyNumberFormat="1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1" fillId="17" borderId="169" xfId="0" applyFont="1" applyFill="1" applyBorder="1" applyAlignment="1">
      <alignment horizontal="center" vertical="center"/>
    </xf>
    <xf numFmtId="0" fontId="24" fillId="17" borderId="83" xfId="0" applyFont="1" applyFill="1" applyBorder="1" applyAlignment="1">
      <alignment horizontal="center"/>
    </xf>
    <xf numFmtId="0" fontId="24" fillId="17" borderId="155" xfId="0" applyFont="1" applyFill="1" applyBorder="1" applyAlignment="1">
      <alignment horizontal="center"/>
    </xf>
    <xf numFmtId="0" fontId="24" fillId="17" borderId="156" xfId="0" applyFont="1" applyFill="1" applyBorder="1" applyAlignment="1">
      <alignment horizontal="center"/>
    </xf>
    <xf numFmtId="0" fontId="24" fillId="17" borderId="38" xfId="0" applyFont="1" applyFill="1" applyBorder="1" applyAlignment="1">
      <alignment horizontal="center" vertical="center" wrapText="1"/>
    </xf>
    <xf numFmtId="0" fontId="24" fillId="17" borderId="50" xfId="0" applyFont="1" applyFill="1" applyBorder="1" applyAlignment="1">
      <alignment horizontal="center" vertical="center" wrapText="1"/>
    </xf>
    <xf numFmtId="0" fontId="24" fillId="17" borderId="44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64" xfId="0" applyFont="1" applyFill="1" applyBorder="1" applyAlignment="1">
      <alignment horizontal="center" vertical="center"/>
    </xf>
    <xf numFmtId="0" fontId="1" fillId="17" borderId="62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" fillId="17" borderId="50" xfId="0" applyFont="1" applyFill="1" applyBorder="1" applyAlignment="1">
      <alignment horizontal="center" vertical="center" wrapText="1"/>
    </xf>
    <xf numFmtId="0" fontId="0" fillId="17" borderId="44" xfId="0" applyFont="1" applyFill="1" applyBorder="1" applyAlignment="1">
      <alignment/>
    </xf>
    <xf numFmtId="0" fontId="24" fillId="16" borderId="83" xfId="0" applyFont="1" applyFill="1" applyBorder="1" applyAlignment="1">
      <alignment horizontal="center"/>
    </xf>
    <xf numFmtId="0" fontId="24" fillId="16" borderId="155" xfId="0" applyFont="1" applyFill="1" applyBorder="1" applyAlignment="1">
      <alignment horizontal="center"/>
    </xf>
    <xf numFmtId="0" fontId="24" fillId="16" borderId="156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64" xfId="0" applyFont="1" applyFill="1" applyBorder="1" applyAlignment="1">
      <alignment horizontal="center" vertical="center"/>
    </xf>
    <xf numFmtId="0" fontId="1" fillId="16" borderId="62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0" fillId="16" borderId="44" xfId="0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CONSUMO DE ENERGÍA ELÉCTRICA PERCÁPITA
1995 - 2011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525"/>
          <c:y val="0.133"/>
          <c:w val="0.88675"/>
          <c:h val="0.87575"/>
        </c:manualLayout>
      </c:layout>
      <c:lineChart>
        <c:grouping val="standard"/>
        <c:varyColors val="0"/>
        <c:ser>
          <c:idx val="0"/>
          <c:order val="0"/>
          <c:tx>
            <c:v>CONSUMO DE ENRGÍA ELÉCTRICA PERCÁPITA 1995 - 2011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E3E3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'Cuadros 1.2 - 1.3'!$B$10:$B$26</c:f>
              <c:numCache/>
            </c:numRef>
          </c:cat>
          <c:val>
            <c:numRef>
              <c:f>'Cuadros 1.2 - 1.3'!$C$10:$C$26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7733"/>
        <c:crossesAt val="400"/>
        <c:auto val="1"/>
        <c:lblOffset val="100"/>
        <c:tickLblSkip val="1"/>
        <c:noMultiLvlLbl val="0"/>
      </c:catAx>
      <c:valAx>
        <c:axId val="45107733"/>
        <c:scaling>
          <c:orientation val="minMax"/>
          <c:max val="12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kW.h / habitante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8132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1 995 - 2 011</a:t>
            </a:r>
          </a:p>
        </c:rich>
      </c:tx>
      <c:layout>
        <c:manualLayout>
          <c:xMode val="factor"/>
          <c:yMode val="factor"/>
          <c:x val="0.0237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675"/>
          <c:y val="0.17425"/>
          <c:w val="0.7792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3.1 PEFectiva'!$C$7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PEFectiva'!$C$9:$C$25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PEFectiva'!$D$9:$D$25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PEFectiva'!$E$9:$E$25</c:f>
              <c:numCache/>
            </c:numRef>
          </c:val>
        </c:ser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1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88"/>
          <c:w val="0.35675"/>
          <c:h val="0.06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MÁXIMA DEMANDA 1 995 - 2 011</a:t>
            </a:r>
          </a:p>
        </c:rich>
      </c:tx>
      <c:layout>
        <c:manualLayout>
          <c:xMode val="factor"/>
          <c:yMode val="factor"/>
          <c:x val="0.04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7"/>
          <c:w val="0.935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'Cuadro 4 M. DEMANDA'!$C$5</c:f>
              <c:strCache>
                <c:ptCount val="1"/>
                <c:pt idx="0">
                  <c:v>Máxima Demanda 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4 579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4 961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'Cuadro 4 M. DEMANDA'!$B$8:$B$24</c:f>
              <c:strCache/>
            </c:strRef>
          </c:cat>
          <c:val>
            <c:numRef>
              <c:f>'Cuadro 4 M. DEMANDA'!$C$8:$C$24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0"/>
        <c:lblOffset val="100"/>
        <c:tickLblSkip val="1"/>
        <c:noMultiLvlLbl val="0"/>
      </c:catAx>
      <c:valAx>
        <c:axId val="42701241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MÁXIMA DEMANDA
1995 - 2011</a:t>
            </a:r>
          </a:p>
        </c:rich>
      </c:tx>
      <c:layout>
        <c:manualLayout>
          <c:xMode val="factor"/>
          <c:yMode val="factor"/>
          <c:x val="0.014"/>
          <c:y val="0.02675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4725"/>
          <c:y val="0.26375"/>
          <c:w val="0.945"/>
          <c:h val="0.6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'Cuadro 4 M. DEMANDA'!$C$5:$C$6</c:f>
              <c:strCache>
                <c:ptCount val="1"/>
                <c:pt idx="0">
                  <c:v>Máxima Demanda  (MW)</c:v>
                </c:pt>
              </c:strCache>
            </c:strRef>
          </c:tx>
          <c:spPr>
            <a:gradFill rotWithShape="1">
              <a:gsLst>
                <a:gs pos="0">
                  <a:srgbClr val="652244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4 579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4 961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4 M. DEMANDA'!$B$8:$B$24</c:f>
              <c:strCache/>
            </c:strRef>
          </c:cat>
          <c:val>
            <c:numRef>
              <c:f>'Cuadro 4 M. DEMANDA'!$C$8:$C$24</c:f>
              <c:numCache/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auto val="0"/>
        <c:lblOffset val="100"/>
        <c:tickLblSkip val="1"/>
        <c:noMultiLvlLbl val="0"/>
      </c:catAx>
      <c:valAx>
        <c:axId val="362484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1 995 - 2 011</a:t>
            </a:r>
          </a:p>
        </c:rich>
      </c:tx>
      <c:layout>
        <c:manualLayout>
          <c:xMode val="factor"/>
          <c:yMode val="factor"/>
          <c:x val="0.03075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605"/>
          <c:w val="0.912"/>
          <c:h val="0.7145"/>
        </c:manualLayout>
      </c:layout>
      <c:areaChart>
        <c:grouping val="stacked"/>
        <c:varyColors val="0"/>
        <c:ser>
          <c:idx val="0"/>
          <c:order val="0"/>
          <c:tx>
            <c:strRef>
              <c:f>'Cuadro 5.1 Producción'!$D$8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Producción'!$D$9:$D$25</c:f>
              <c:numCache/>
            </c:numRef>
          </c:val>
        </c:ser>
        <c:ser>
          <c:idx val="1"/>
          <c:order val="1"/>
          <c:tx>
            <c:strRef>
              <c:f>'Cuadro 5.1 Producción'!$E$8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Producción'!$E$9:$E$25</c:f>
              <c:numCache/>
            </c:numRef>
          </c:val>
        </c:ser>
        <c:axId val="57800748"/>
        <c:axId val="50444685"/>
      </c:area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0748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1 995 - 2 011</a:t>
            </a:r>
          </a:p>
        </c:rich>
      </c:tx>
      <c:layout>
        <c:manualLayout>
          <c:xMode val="factor"/>
          <c:yMode val="factor"/>
          <c:x val="0.0477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88"/>
          <c:w val="0.9185"/>
          <c:h val="0.81075"/>
        </c:manualLayout>
      </c:layout>
      <c:areaChart>
        <c:grouping val="stacked"/>
        <c:varyColors val="0"/>
        <c:ser>
          <c:idx val="0"/>
          <c:order val="0"/>
          <c:tx>
            <c:strRef>
              <c:f>'Cuadro 5.1 Producción'!$H$8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Producción'!$H$9:$H$25</c:f>
              <c:numCache/>
            </c:numRef>
          </c:val>
        </c:ser>
        <c:ser>
          <c:idx val="1"/>
          <c:order val="1"/>
          <c:tx>
            <c:strRef>
              <c:f>'Cuadro 5.1 Producción'!$I$8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Producción'!$I$9:$I$25</c:f>
              <c:numCache/>
            </c:numRef>
          </c:val>
        </c:ser>
        <c:axId val="51348982"/>
        <c:axId val="59487655"/>
      </c:area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89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1 995 - 2 011</a:t>
            </a:r>
          </a:p>
        </c:rich>
      </c:tx>
      <c:layout>
        <c:manualLayout>
          <c:xMode val="factor"/>
          <c:yMode val="factor"/>
          <c:x val="0.0322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18325"/>
          <c:w val="0.94325"/>
          <c:h val="0.8165"/>
        </c:manualLayout>
      </c:layout>
      <c:areaChart>
        <c:grouping val="stacked"/>
        <c:varyColors val="0"/>
        <c:ser>
          <c:idx val="0"/>
          <c:order val="0"/>
          <c:tx>
            <c:strRef>
              <c:f>'Cuadro 5.1 Producción'!$L$8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Producción'!$L$9:$L$25</c:f>
              <c:numCache/>
            </c:numRef>
          </c:val>
        </c:ser>
        <c:ser>
          <c:idx val="1"/>
          <c:order val="1"/>
          <c:tx>
            <c:strRef>
              <c:f>'Cuadro 5.1 Producción'!$M$8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'Cuadro 5.1 Producción'!$B$9:$B$25</c:f>
              <c:strCache/>
            </c:strRef>
          </c:cat>
          <c:val>
            <c:numRef>
              <c:f>'Cuadro 5.1 Producción'!$M$9:$M$25</c:f>
              <c:numCache/>
            </c:numRef>
          </c:val>
        </c:ser>
        <c:axId val="65626848"/>
        <c:axId val="53770721"/>
      </c:area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6848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DE LA LONGITUD TOTAL DE LÍNEAS DE TRANSMISIÓN A NIVEL NACIONAL 1995 - 2011</a:t>
            </a:r>
          </a:p>
        </c:rich>
      </c:tx>
      <c:layout>
        <c:manualLayout>
          <c:xMode val="factor"/>
          <c:yMode val="factor"/>
          <c:x val="0.082"/>
          <c:y val="0.012"/>
        </c:manualLayout>
      </c:layout>
      <c:spPr>
        <a:solidFill>
          <a:srgbClr val="BFBFBF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278"/>
          <c:w val="0.8895"/>
          <c:h val="0.58975"/>
        </c:manualLayout>
      </c:layout>
      <c:barChart>
        <c:barDir val="col"/>
        <c:grouping val="stacked"/>
        <c:varyColors val="0"/>
        <c:ser>
          <c:idx val="0"/>
          <c:order val="0"/>
          <c:tx>
            <c:v>500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6.1  LLTT'!$B$16:$B$32</c:f>
              <c:numCache/>
            </c:numRef>
          </c:cat>
          <c:val>
            <c:numRef>
              <c:f>'Cuadro 6.1  LLTT'!$D$16:$D$32</c:f>
              <c:numCache/>
            </c:numRef>
          </c:val>
        </c:ser>
        <c:ser>
          <c:idx val="1"/>
          <c:order val="1"/>
          <c:tx>
            <c:strRef>
              <c:f>'Cuadro 6.1  LLTT'!$E$14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6.1  LLTT'!$B$16:$B$32</c:f>
              <c:numCache/>
            </c:numRef>
          </c:cat>
          <c:val>
            <c:numRef>
              <c:f>'Cuadro 6.1  LLTT'!$E$16:$E$32</c:f>
              <c:numCache/>
            </c:numRef>
          </c:val>
        </c:ser>
        <c:ser>
          <c:idx val="2"/>
          <c:order val="2"/>
          <c:tx>
            <c:strRef>
              <c:f>'Cuadro 6.1  LLTT'!$F$14</c:f>
              <c:strCache>
                <c:ptCount val="1"/>
                <c:pt idx="0">
                  <c:v>138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6.1  LLTT'!$B$16:$B$32</c:f>
              <c:numCache/>
            </c:numRef>
          </c:cat>
          <c:val>
            <c:numRef>
              <c:f>'Cuadro 6.1  LLTT'!$F$16:$F$32</c:f>
              <c:numCache/>
            </c:numRef>
          </c:val>
        </c:ser>
        <c:ser>
          <c:idx val="3"/>
          <c:order val="3"/>
          <c:tx>
            <c:strRef>
              <c:f>'Cuadro 6.1  LLTT'!$G$14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6.1  LLTT'!$B$16:$B$32</c:f>
              <c:numCache/>
            </c:numRef>
          </c:cat>
          <c:val>
            <c:numRef>
              <c:f>'Cuadro 6.1  LLTT'!$G$16:$G$32</c:f>
              <c:numCache/>
            </c:numRef>
          </c:val>
        </c:ser>
        <c:ser>
          <c:idx val="4"/>
          <c:order val="4"/>
          <c:tx>
            <c:strRef>
              <c:f>'Cuadro 6.1  LLTT'!$H$14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6.1  LLTT'!$B$16:$B$32</c:f>
              <c:numCache/>
            </c:numRef>
          </c:cat>
          <c:val>
            <c:numRef>
              <c:f>'Cuadro 6.1  LLTT'!$H$16:$H$32</c:f>
              <c:numCache/>
            </c:numRef>
          </c:val>
        </c:ser>
        <c:overlap val="100"/>
        <c:axId val="14174442"/>
        <c:axId val="60461115"/>
      </c:bar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88675"/>
          <c:w val="0.29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PÉRDIDAS DE ENERGÍA ELÉCTRICA EN  EL SISTEMA PRINCIPAL DE TRANSMISIÓN 1995 - 2011</a:t>
            </a:r>
          </a:p>
        </c:rich>
      </c:tx>
      <c:layout>
        <c:manualLayout>
          <c:xMode val="factor"/>
          <c:yMode val="factor"/>
          <c:x val="0.01475"/>
          <c:y val="-0.0165"/>
        </c:manualLayout>
      </c:layout>
      <c:spPr>
        <a:solidFill>
          <a:srgbClr val="BFBFBF"/>
        </a:solidFill>
        <a:ln w="3175">
          <a:noFill/>
        </a:ln>
      </c:spPr>
    </c:title>
    <c:plotArea>
      <c:layout>
        <c:manualLayout>
          <c:xMode val="edge"/>
          <c:yMode val="edge"/>
          <c:x val="0.06575"/>
          <c:y val="0.17675"/>
          <c:w val="0.83325"/>
          <c:h val="0.7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9933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6.2 Pérdidas LL TT'!$B$8:$B$24</c:f>
              <c:numCache/>
            </c:numRef>
          </c:cat>
          <c:val>
            <c:numRef>
              <c:f>'Cuadro 6.2 Pérdidas LL TT'!$C$8:$C$24</c:f>
              <c:numCache/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At val="0"/>
        <c:auto val="1"/>
        <c:lblOffset val="100"/>
        <c:tickLblSkip val="1"/>
        <c:noMultiLvlLbl val="0"/>
      </c:catAx>
      <c:valAx>
        <c:axId val="6551211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NÚMERO DE CLIENTES REGULADOS
1 995 - 2 011</a:t>
            </a:r>
          </a:p>
        </c:rich>
      </c:tx>
      <c:layout>
        <c:manualLayout>
          <c:xMode val="factor"/>
          <c:yMode val="factor"/>
          <c:x val="0.07125"/>
          <c:y val="0"/>
        </c:manualLayout>
      </c:layout>
      <c:spPr>
        <a:solidFill>
          <a:srgbClr val="D9D9D9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18175"/>
          <c:w val="0.916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7.1  Clientes'!$D$12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'Cuadro 7.1  Clientes'!$B$13:$B$30</c:f>
              <c:numCache/>
            </c:numRef>
          </c:cat>
          <c:val>
            <c:numRef>
              <c:f>'Cuadro 7.1  Clientes'!$D$13:$D$30</c:f>
              <c:numCache/>
            </c:numRef>
          </c:val>
        </c:ser>
        <c:overlap val="100"/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Clientes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  <c:minorUnit val="3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DEL NÚMERO DE CLIENTES LIBRES
1 995 - 2 011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solidFill>
          <a:srgbClr val="D9D9D9"/>
        </a:solidFill>
        <a:ln w="3175">
          <a:noFill/>
        </a:ln>
      </c:spPr>
    </c:title>
    <c:plotArea>
      <c:layout>
        <c:manualLayout>
          <c:xMode val="edge"/>
          <c:yMode val="edge"/>
          <c:x val="0.04625"/>
          <c:y val="0.17925"/>
          <c:w val="0.92875"/>
          <c:h val="0.7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7.1  Clientes'!$E$12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'Cuadro 7.1  Clientes'!$B$13:$B$30</c:f>
              <c:numCache/>
            </c:numRef>
          </c:cat>
          <c:val>
            <c:numRef>
              <c:f>'Cuadro 7.1  Clientes'!$E$13:$E$30</c:f>
              <c:numCache/>
            </c:numRef>
          </c:val>
        </c:ser>
        <c:overlap val="100"/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Clientes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PERCÁPITA
1 995 - 2 011</a:t>
            </a:r>
          </a:p>
        </c:rich>
      </c:tx>
      <c:layout>
        <c:manualLayout>
          <c:xMode val="factor"/>
          <c:yMode val="factor"/>
          <c:x val="0.00775"/>
          <c:y val="-0.006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25"/>
          <c:y val="0.209"/>
          <c:w val="0.899"/>
          <c:h val="0.778"/>
        </c:manualLayout>
      </c:layout>
      <c:lineChart>
        <c:grouping val="standard"/>
        <c:varyColors val="0"/>
        <c:ser>
          <c:idx val="0"/>
          <c:order val="0"/>
          <c:tx>
            <c:v>PRODUCCIÓN DE ENERGÍA ELÉCTRICA PERCÁPITA 1 995 - 2 011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'Cuadros 1.2 - 1.3'!$B$59:$B$75</c:f>
              <c:numCache/>
            </c:numRef>
          </c:cat>
          <c:val>
            <c:numRef>
              <c:f>'Cuadros 1.2 - 1.3'!$C$59:$C$75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  <c:max val="14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kW.h / habitante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14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VENTAS DE ENERGÍA ELÉCTRICA  POR TIPO DE MERCADO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1 995 - 2 011</a:t>
            </a:r>
          </a:p>
        </c:rich>
      </c:tx>
      <c:layout>
        <c:manualLayout>
          <c:xMode val="factor"/>
          <c:yMode val="factor"/>
          <c:x val="-0.0165"/>
          <c:y val="-0.013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75"/>
          <c:w val="0.94425"/>
          <c:h val="0.7595"/>
        </c:manualLayout>
      </c:layout>
      <c:areaChart>
        <c:grouping val="stacked"/>
        <c:varyColors val="0"/>
        <c:ser>
          <c:idx val="0"/>
          <c:order val="0"/>
          <c:tx>
            <c:strRef>
              <c:f>'Cuadro 8.1 Ventas'!$D$12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8.1 Ventas'!$B$15:$B$31</c:f>
              <c:numCache/>
            </c:numRef>
          </c:cat>
          <c:val>
            <c:numRef>
              <c:f>'Cuadro 8.1 Ventas'!$D$15:$D$31</c:f>
              <c:numCache/>
            </c:numRef>
          </c:val>
        </c:ser>
        <c:ser>
          <c:idx val="1"/>
          <c:order val="1"/>
          <c:tx>
            <c:strRef>
              <c:f>'Cuadro 8.1 Ventas'!$E$12</c:f>
              <c:strCache>
                <c:ptCount val="1"/>
                <c:pt idx="0">
                  <c:v>Libre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8.1 Ventas'!$B$15:$B$31</c:f>
              <c:numCache/>
            </c:numRef>
          </c:cat>
          <c:val>
            <c:numRef>
              <c:f>'Cuadro 8.1 Ventas'!$E$15:$E$31</c:f>
              <c:numCache/>
            </c:numRef>
          </c:val>
        </c:ser>
        <c:axId val="1647698"/>
        <c:axId val="14829283"/>
      </c:area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VENTAS DE ENERGÍA POR TIPO DE EMPRESA
1 995 - 2 011</a:t>
            </a:r>
          </a:p>
        </c:rich>
      </c:tx>
      <c:layout>
        <c:manualLayout>
          <c:xMode val="factor"/>
          <c:yMode val="factor"/>
          <c:x val="0.02575"/>
          <c:y val="0.00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4"/>
          <c:y val="0.20525"/>
          <c:w val="0.89825"/>
          <c:h val="0.756"/>
        </c:manualLayout>
      </c:layout>
      <c:areaChart>
        <c:grouping val="stacked"/>
        <c:varyColors val="0"/>
        <c:ser>
          <c:idx val="0"/>
          <c:order val="0"/>
          <c:tx>
            <c:strRef>
              <c:f>'Cuadro 8.1 Ventas'!$F$11:$H$11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8.1 Ventas'!$B$15:$B$31</c:f>
              <c:numCache/>
            </c:numRef>
          </c:cat>
          <c:val>
            <c:numRef>
              <c:f>'Cuadro 8.1 Ventas'!$F$15:$F$31</c:f>
              <c:numCache/>
            </c:numRef>
          </c:val>
        </c:ser>
        <c:ser>
          <c:idx val="1"/>
          <c:order val="1"/>
          <c:tx>
            <c:strRef>
              <c:f>'Cuadro 8.1 Ventas'!$I$11:$K$11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8.1 Ventas'!$B$15:$B$31</c:f>
              <c:numCache/>
            </c:numRef>
          </c:cat>
          <c:val>
            <c:numRef>
              <c:f>'Cuadro 8.1 Ventas'!$I$15:$I$31</c:f>
              <c:numCache/>
            </c:numRef>
          </c:val>
        </c:ser>
        <c:axId val="66354684"/>
        <c:axId val="60321245"/>
      </c:area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FACTURACIÓN POR VENTA FINAL DE ENERGÍA ELÉCTRICA AL MERCADO LIBRE Y REGULADO 1 995 - 2 011</a:t>
            </a:r>
          </a:p>
        </c:rich>
      </c:tx>
      <c:layout>
        <c:manualLayout>
          <c:xMode val="factor"/>
          <c:yMode val="factor"/>
          <c:x val="0.04675"/>
          <c:y val="-0.01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925"/>
          <c:y val="0.17875"/>
          <c:w val="0.929"/>
          <c:h val="0.82325"/>
        </c:manualLayout>
      </c:layout>
      <c:areaChart>
        <c:grouping val="stacked"/>
        <c:varyColors val="0"/>
        <c:ser>
          <c:idx val="0"/>
          <c:order val="0"/>
          <c:tx>
            <c:strRef>
              <c:f>'Cuadro 9,1 Facturación'!$D$12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9,1 Facturación'!$B$14:$B$30</c:f>
              <c:numCache/>
            </c:numRef>
          </c:cat>
          <c:val>
            <c:numRef>
              <c:f>'Cuadro 9,1 Facturación'!$D$14:$D$30</c:f>
              <c:numCache/>
            </c:numRef>
          </c:val>
        </c:ser>
        <c:ser>
          <c:idx val="1"/>
          <c:order val="1"/>
          <c:tx>
            <c:strRef>
              <c:f>'Cuadro 9,1 Facturación'!$E$12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9,1 Facturación'!$B$14:$B$30</c:f>
              <c:numCache/>
            </c:numRef>
          </c:cat>
          <c:val>
            <c:numRef>
              <c:f>'Cuadro 9,1 Facturación'!$E$14:$E$30</c:f>
              <c:numCache/>
            </c:numRef>
          </c:val>
        </c:ser>
        <c:axId val="6020294"/>
        <c:axId val="54182647"/>
      </c:area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FACTURACIÓN POR VENTA DE ENERGÍA SEGÚN TIPO DE EMPRESA 1 995 - 2 011</a:t>
            </a:r>
          </a:p>
        </c:rich>
      </c:tx>
      <c:layout>
        <c:manualLayout>
          <c:xMode val="factor"/>
          <c:yMode val="factor"/>
          <c:x val="0.0495"/>
          <c:y val="-0.00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8025"/>
          <c:y val="0.22"/>
          <c:w val="0.9155"/>
          <c:h val="0.766"/>
        </c:manualLayout>
      </c:layout>
      <c:areaChart>
        <c:grouping val="stacked"/>
        <c:varyColors val="0"/>
        <c:ser>
          <c:idx val="0"/>
          <c:order val="0"/>
          <c:tx>
            <c:strRef>
              <c:f>'Cuadro 9,1 Facturación'!$F$11:$H$11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9,1 Facturación'!$B$14:$B$30</c:f>
              <c:numCache/>
            </c:numRef>
          </c:cat>
          <c:val>
            <c:numRef>
              <c:f>'Cuadro 9,1 Facturación'!$F$14:$F$30</c:f>
              <c:numCache/>
            </c:numRef>
          </c:val>
        </c:ser>
        <c:ser>
          <c:idx val="1"/>
          <c:order val="1"/>
          <c:tx>
            <c:strRef>
              <c:f>'Cuadro 9,1 Facturación'!$I$11:$K$11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9,1 Facturación'!$B$14:$B$30</c:f>
              <c:numCache/>
            </c:numRef>
          </c:cat>
          <c:val>
            <c:numRef>
              <c:f>'Cuadro 9,1 Facturación'!$I$14:$I$30</c:f>
              <c:numCache/>
            </c:numRef>
          </c:val>
        </c:ser>
        <c:axId val="17881776"/>
        <c:axId val="26718257"/>
      </c:area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ax val="2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At val="1"/>
        <c:crossBetween val="midCat"/>
        <c:dispUnits/>
        <c:majorUnit val="400000"/>
        <c:minorUnit val="2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ELÉCTRICA AL MERCADO LIBRE Y REGULADO 1995 - 2011</a:t>
            </a:r>
          </a:p>
        </c:rich>
      </c:tx>
      <c:layout>
        <c:manualLayout>
          <c:xMode val="factor"/>
          <c:yMode val="factor"/>
          <c:x val="0.02925"/>
          <c:y val="-0.018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225"/>
          <c:y val="0.13175"/>
          <c:w val="0.846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10,1 P. Medio'!$D$12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10,1 P. Medio'!$B$15:$B$31</c:f>
              <c:numCache/>
            </c:numRef>
          </c:cat>
          <c:val>
            <c:numRef>
              <c:f>'Cuadro 10,1 P. Medio'!$D$15:$D$31</c:f>
              <c:numCache/>
            </c:numRef>
          </c:val>
        </c:ser>
        <c:ser>
          <c:idx val="1"/>
          <c:order val="1"/>
          <c:tx>
            <c:strRef>
              <c:f>'Cuadro 10,1 P. Medio'!$E$12</c:f>
              <c:strCache>
                <c:ptCount val="1"/>
                <c:pt idx="0">
                  <c:v>Libre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10,1 P. Medio'!$B$15:$B$31</c:f>
              <c:numCache/>
            </c:numRef>
          </c:cat>
          <c:val>
            <c:numRef>
              <c:f>'Cuadro 10,1 P. Medio'!$E$15:$E$31</c:f>
              <c:numCache/>
            </c:numRef>
          </c:val>
        </c:ser>
        <c:axId val="39137722"/>
        <c:axId val="16695179"/>
      </c:bar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7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75"/>
          <c:y val="0.91025"/>
          <c:w val="0.2067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PRECIO MEDIO DE ENERGÍA POR TIPO DE EMPRESA
1995 - 2011</a:t>
            </a:r>
          </a:p>
        </c:rich>
      </c:tx>
      <c:layout>
        <c:manualLayout>
          <c:xMode val="factor"/>
          <c:yMode val="factor"/>
          <c:x val="0.05875"/>
          <c:y val="-0.00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5"/>
          <c:y val="0.28675"/>
          <c:w val="0.775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10,1 P. Medio'!$F$11:$H$11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10,1 P. Medio'!$B$15:$B$31</c:f>
              <c:numCache/>
            </c:numRef>
          </c:cat>
          <c:val>
            <c:numRef>
              <c:f>'Cuadro 10,1 P. Medio'!$F$15:$F$31</c:f>
              <c:numCache/>
            </c:numRef>
          </c:val>
        </c:ser>
        <c:ser>
          <c:idx val="1"/>
          <c:order val="1"/>
          <c:tx>
            <c:strRef>
              <c:f>'Cuadro 10,1 P. Medio'!$I$11:$K$11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10,1 P. Medio'!$B$15:$B$31</c:f>
              <c:numCache/>
            </c:numRef>
          </c:cat>
          <c:val>
            <c:numRef>
              <c:f>'Cuadro 10,1 P. Medio'!$I$15:$I$31</c:f>
              <c:numCache/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3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At val="1"/>
        <c:crossBetween val="between"/>
        <c:dispUnits/>
        <c:majorUnit val="3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842"/>
          <c:w val="0.353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PÉRDIDAS DE ENERGÍA ELÉCTRICA EN  DISTRIBUCIÓN 1 995 - 2 011</a:t>
            </a:r>
          </a:p>
        </c:rich>
      </c:tx>
      <c:layout>
        <c:manualLayout>
          <c:xMode val="factor"/>
          <c:yMode val="factor"/>
          <c:x val="0.00625"/>
          <c:y val="-0.01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7825"/>
          <c:w val="0.947"/>
          <c:h val="0.74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11 Perdidas Dist.'!$B$7:$B$23</c:f>
              <c:numCache/>
            </c:numRef>
          </c:cat>
          <c:val>
            <c:numRef>
              <c:f>'Cuadro 11 Perdidas Dist.'!$C$7:$C$23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At val="0"/>
        <c:auto val="1"/>
        <c:lblOffset val="100"/>
        <c:tickLblSkip val="1"/>
        <c:noMultiLvlLbl val="0"/>
      </c:catAx>
      <c:valAx>
        <c:axId val="1540419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11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CONSUMO DE ENERGÍA ELÉCTRICA POR TIPO DE EMPRESA 1 995 - 2 011</a:t>
            </a:r>
          </a:p>
        </c:rich>
      </c:tx>
      <c:layout>
        <c:manualLayout>
          <c:xMode val="factor"/>
          <c:yMode val="factor"/>
          <c:x val="0.02525"/>
          <c:y val="-0.00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15"/>
          <c:y val="0.23325"/>
          <c:w val="0.82825"/>
          <c:h val="0.6407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33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 12 Consumo'!$B$9:$B$25</c:f>
              <c:numCache/>
            </c:numRef>
          </c:cat>
          <c:val>
            <c:numRef>
              <c:f>'Cuadro 12 Consumo'!$C$9:$C$25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FF"/>
              </a:solidFill>
              <a:ln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12 Consumo'!$B$9:$B$25</c:f>
              <c:numCache/>
            </c:numRef>
          </c:cat>
          <c:val>
            <c:numRef>
              <c:f>'Cuadro 12 Consumo'!$E$9:$E$25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12 Consumo'!$B$9:$B$25</c:f>
              <c:numCache/>
            </c:numRef>
          </c:cat>
          <c:val>
            <c:numRef>
              <c:f>'Cuadro 12 Consumo'!$F$9:$F$25</c:f>
              <c:numCache/>
            </c:numRef>
          </c:val>
          <c:smooth val="0"/>
        </c:ser>
        <c:ser>
          <c:idx val="3"/>
          <c:order val="3"/>
          <c:tx>
            <c:strRef>
              <c:f>'Cuadro 12 Consumo'!$G$6:$G$7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12 Consumo'!$B$9:$B$25</c:f>
              <c:numCache/>
            </c:numRef>
          </c:cat>
          <c:val>
            <c:numRef>
              <c:f>'Cuadro 12 Consumo'!$G$9:$G$25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275"/>
          <c:y val="0.8805"/>
          <c:w val="0.63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DEL CONSUMO DE ENERGÍA ELÉCTRICA 
1995 - 2011</a:t>
            </a:r>
          </a:p>
        </c:rich>
      </c:tx>
      <c:layout>
        <c:manualLayout>
          <c:xMode val="factor"/>
          <c:yMode val="factor"/>
          <c:x val="0.017"/>
          <c:y val="0.013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805"/>
          <c:y val="0.253"/>
          <c:w val="0.879"/>
          <c:h val="0.62175"/>
        </c:manualLayout>
      </c:layout>
      <c:areaChart>
        <c:grouping val="stacked"/>
        <c:varyColors val="0"/>
        <c:ser>
          <c:idx val="0"/>
          <c:order val="0"/>
          <c:tx>
            <c:strRef>
              <c:f>'Cuadro 12 Consumo'!$D$6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12 Consumo'!$B$9:$B$25</c:f>
              <c:numCache/>
            </c:numRef>
          </c:cat>
          <c:val>
            <c:numRef>
              <c:f>'Cuadro 12 Consumo'!$D$9:$D$25</c:f>
              <c:numCache/>
            </c:numRef>
          </c:val>
        </c:ser>
        <c:ser>
          <c:idx val="1"/>
          <c:order val="1"/>
          <c:tx>
            <c:strRef>
              <c:f>'Cuadro 12 Consumo'!$G$6:$G$7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'Cuadro 12 Consumo'!$B$9:$B$25</c:f>
              <c:numCache/>
            </c:numRef>
          </c:cat>
          <c:val>
            <c:numRef>
              <c:f>'Cuadro 12 Consumo'!$G$9:$G$25</c:f>
              <c:numCache/>
            </c:numRef>
          </c:val>
        </c:ser>
        <c:axId val="22475042"/>
        <c:axId val="948787"/>
      </c:area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25"/>
          <c:y val="0.90525"/>
          <c:w val="0.521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VENTA DE ENERGÍA ELÉCTRICA POR SECTORES DE CONSUMO  1 995 - 2 011</a:t>
            </a:r>
          </a:p>
        </c:rich>
      </c:tx>
      <c:layout>
        <c:manualLayout>
          <c:xMode val="factor"/>
          <c:yMode val="factor"/>
          <c:x val="-0.0105"/>
          <c:y val="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1"/>
          <c:y val="0.14975"/>
          <c:w val="0.90225"/>
          <c:h val="0.67475"/>
        </c:manualLayout>
      </c:layout>
      <c:areaChart>
        <c:grouping val="stacked"/>
        <c:varyColors val="0"/>
        <c:ser>
          <c:idx val="0"/>
          <c:order val="0"/>
          <c:tx>
            <c:strRef>
              <c:f>'Cuadro 13 Vta. Sect. Consumo'!$B$6:$B$7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'Cuadro 13 Vta. Sect. Consumo'!$A$9:$A$25</c:f>
              <c:numCache/>
            </c:numRef>
          </c:cat>
          <c:val>
            <c:numRef>
              <c:f>'Cuadro 13 Vta. Sect. Consumo'!$B$9:$B$25</c:f>
              <c:numCache/>
            </c:numRef>
          </c:val>
        </c:ser>
        <c:ser>
          <c:idx val="1"/>
          <c:order val="1"/>
          <c:tx>
            <c:strRef>
              <c:f>'Cuadro 13 Vta. Sect. Consumo'!$C$6:$C$7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'Cuadro 13 Vta. Sect. Consumo'!$A$9:$A$25</c:f>
              <c:numCache/>
            </c:numRef>
          </c:cat>
          <c:val>
            <c:numRef>
              <c:f>'Cuadro 13 Vta. Sect. Consumo'!$C$9:$C$25</c:f>
              <c:numCache/>
            </c:numRef>
          </c:val>
        </c:ser>
        <c:ser>
          <c:idx val="2"/>
          <c:order val="2"/>
          <c:tx>
            <c:strRef>
              <c:f>'Cuadro 13 Vta. Sect. Consumo'!$D$6:$D$7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'Cuadro 13 Vta. Sect. Consumo'!$A$9:$A$25</c:f>
              <c:numCache/>
            </c:numRef>
          </c:cat>
          <c:val>
            <c:numRef>
              <c:f>'Cuadro 13 Vta. Sect. Consumo'!$D$9:$D$25</c:f>
              <c:numCache/>
            </c:numRef>
          </c:val>
        </c:ser>
        <c:ser>
          <c:idx val="3"/>
          <c:order val="3"/>
          <c:tx>
            <c:strRef>
              <c:f>'Cuadro 13 Vta. Sect. Consumo'!$E$6:$E$7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'Cuadro 13 Vta. Sect. Consumo'!$A$9:$A$25</c:f>
              <c:numCache/>
            </c:numRef>
          </c:cat>
          <c:val>
            <c:numRef>
              <c:f>'Cuadro 13 Vta. Sect. Consumo'!$E$9:$E$25</c:f>
              <c:numCache/>
            </c:numRef>
          </c:val>
        </c:ser>
        <c:ser>
          <c:idx val="4"/>
          <c:order val="4"/>
          <c:tx>
            <c:strRef>
              <c:f>'Cuadro 13 Vta. Sect. Consumo'!$G$5:$G$7</c:f>
              <c:strCache>
                <c:ptCount val="1"/>
                <c:pt idx="0">
                  <c:v>Generación  por Uso Propio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'Cuadro 13 Vta. Sect. Consumo'!$A$9:$A$25</c:f>
              <c:numCache/>
            </c:numRef>
          </c:cat>
          <c:val>
            <c:numRef>
              <c:f>'Cuadro 13 Vta. Sect. Consumo'!$G$9:$G$25</c:f>
              <c:numCache/>
            </c:numRef>
          </c:val>
        </c:ser>
        <c:axId val="8539084"/>
        <c:axId val="9742893"/>
      </c:area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0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5"/>
          <c:y val="0.85225"/>
          <c:w val="0.86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EJECUTADAS POR LAS EMPRESAS EN EL SECTOR ELÉCTRICO POR PARTICIPACIÓN ESTATAL Y PRIVADA  1995 - 2011  </a:t>
            </a:r>
          </a:p>
        </c:rich>
      </c:tx>
      <c:layout>
        <c:manualLayout>
          <c:xMode val="factor"/>
          <c:yMode val="factor"/>
          <c:x val="0.01725"/>
          <c:y val="-0.01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25"/>
          <c:y val="0.1505"/>
          <c:w val="0.907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'Cuado 1.4 - INVERSIONES'!$B$15:$B$31</c:f>
              <c:numCache/>
            </c:numRef>
          </c:cat>
          <c:val>
            <c:numRef>
              <c:f>'Cuado 1.4 - INVERSIONES'!$D$15:$D$31</c:f>
              <c:numCache/>
            </c:numRef>
          </c:val>
        </c:ser>
        <c:ser>
          <c:idx val="1"/>
          <c:order val="1"/>
          <c:tx>
            <c:v>Estatal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'Cuado 1.4 - INVERSIONES'!$B$15:$B$31</c:f>
              <c:numCache/>
            </c:numRef>
          </c:cat>
          <c:val>
            <c:numRef>
              <c:f>'Cuado 1.4 - INVERSIONES'!$H$15:$H$31</c:f>
              <c:numCache/>
            </c:numRef>
          </c:val>
        </c:ser>
        <c:ser>
          <c:idx val="2"/>
          <c:order val="2"/>
          <c:tx>
            <c:v>Privada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'Cuado 1.4 - INVERSIONES'!$B$15:$B$31</c:f>
              <c:numCache/>
            </c:numRef>
          </c:cat>
          <c:val>
            <c:numRef>
              <c:f>'Cuado 1.4 - INVERSIONES'!$L$15:$L$31</c:f>
              <c:numCache/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25"/>
          <c:y val="0.926"/>
          <c:w val="0.3097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FACTURACIÓN DE ENERGÍA ELÉCTRICA POR SECTORES DE CONSUMO  1 995 - 2 011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4575"/>
          <c:w val="0.89175"/>
          <c:h val="0.76625"/>
        </c:manualLayout>
      </c:layout>
      <c:areaChart>
        <c:grouping val="stacked"/>
        <c:varyColors val="0"/>
        <c:ser>
          <c:idx val="0"/>
          <c:order val="0"/>
          <c:tx>
            <c:strRef>
              <c:f>'Cuadro 14 Fac. Set. Consumo'!$B$6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14 Fac. Set. Consumo'!$A$9:$A$25</c:f>
              <c:numCache/>
            </c:numRef>
          </c:cat>
          <c:val>
            <c:numRef>
              <c:f>'Cuadro 14 Fac. Set. Consumo'!$B$9:$B$25</c:f>
              <c:numCache/>
            </c:numRef>
          </c:val>
        </c:ser>
        <c:ser>
          <c:idx val="1"/>
          <c:order val="1"/>
          <c:tx>
            <c:strRef>
              <c:f>'Cuadro 14 Fac. Set. Consumo'!$C$6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'Cuadro 14 Fac. Set. Consumo'!$A$9:$A$25</c:f>
              <c:numCache/>
            </c:numRef>
          </c:cat>
          <c:val>
            <c:numRef>
              <c:f>'Cuadro 14 Fac. Set. Consumo'!$C$9:$C$25</c:f>
              <c:numCache/>
            </c:numRef>
          </c:val>
        </c:ser>
        <c:ser>
          <c:idx val="2"/>
          <c:order val="2"/>
          <c:tx>
            <c:strRef>
              <c:f>'Cuadro 14 Fac. Set. Consumo'!$D$6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14 Fac. Set. Consumo'!$A$9:$A$25</c:f>
              <c:numCache/>
            </c:numRef>
          </c:cat>
          <c:val>
            <c:numRef>
              <c:f>'Cuadro 14 Fac. Set. Consumo'!$D$9:$D$25</c:f>
              <c:numCache/>
            </c:numRef>
          </c:val>
        </c:ser>
        <c:ser>
          <c:idx val="3"/>
          <c:order val="3"/>
          <c:tx>
            <c:strRef>
              <c:f>'Cuadro 14 Fac. Set. Consumo'!$E$6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14 Fac. Set. Consumo'!$A$9:$A$25</c:f>
              <c:numCache/>
            </c:numRef>
          </c:cat>
          <c:val>
            <c:numRef>
              <c:f>'Cuadro 14 Fac. Set. Consumo'!$E$9:$E$25</c:f>
              <c:numCache/>
            </c:numRef>
          </c:val>
        </c:ser>
        <c:axId val="20577174"/>
        <c:axId val="50976839"/>
      </c:area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2425"/>
          <c:w val="0.547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PRECIO MEDIO DE ENERGÍA ELÉCTRICA POR SECTORES ECONÓMICOS  1 995 - 2 011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525"/>
          <c:y val="0.126"/>
          <c:w val="0.95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'Cuadro 15 PMedio Sect. Consumo'!$B$6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Consumo'!$B$9:$B$25</c:f>
              <c:numCache/>
            </c:numRef>
          </c:val>
          <c:smooth val="0"/>
        </c:ser>
        <c:ser>
          <c:idx val="1"/>
          <c:order val="1"/>
          <c:tx>
            <c:strRef>
              <c:f>'Cuadro 15 PMedio Sect. Consumo'!$C$6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Consumo'!$C$9:$C$25</c:f>
              <c:numCache/>
            </c:numRef>
          </c:val>
          <c:smooth val="0"/>
        </c:ser>
        <c:ser>
          <c:idx val="2"/>
          <c:order val="2"/>
          <c:tx>
            <c:strRef>
              <c:f>'Cuadro 15 PMedio Sect. Consumo'!$D$6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Consumo'!$D$9:$D$25</c:f>
              <c:numCache/>
            </c:numRef>
          </c:val>
          <c:smooth val="0"/>
        </c:ser>
        <c:ser>
          <c:idx val="3"/>
          <c:order val="3"/>
          <c:tx>
            <c:strRef>
              <c:f>'Cuadro 15 PMedio Sect. Consumo'!$E$6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Consumo'!$E$9:$E$25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8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PRECIO MEDIO DE ENERGÍA ELÉCTRICA POR SECTORES ECONÓMICOS  1 995 - 2 011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525"/>
          <c:y val="0.126"/>
          <c:w val="0.95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'Cuadro 15 PMedio Sect. Consumo'!$B$6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6CAF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Consumo'!$B$9:$B$25</c:f>
              <c:numCache/>
            </c:numRef>
          </c:val>
          <c:smooth val="0"/>
        </c:ser>
        <c:ser>
          <c:idx val="1"/>
          <c:order val="1"/>
          <c:tx>
            <c:strRef>
              <c:f>'Cuadro 15 PMedio Sect. Consumo'!$C$6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Consumo'!$C$9:$C$25</c:f>
              <c:numCache/>
            </c:numRef>
          </c:val>
          <c:smooth val="0"/>
        </c:ser>
        <c:ser>
          <c:idx val="2"/>
          <c:order val="2"/>
          <c:tx>
            <c:strRef>
              <c:f>'Cuadro 15 PMedio Sect. Consumo'!$D$6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Consumo'!$D$9:$D$25</c:f>
              <c:numCache/>
            </c:numRef>
          </c:val>
          <c:smooth val="0"/>
        </c:ser>
        <c:ser>
          <c:idx val="3"/>
          <c:order val="3"/>
          <c:tx>
            <c:strRef>
              <c:f>'Cuadro 15 PMedio Sect. Consumo'!$E$6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'Cuadro 15 PMedio Sect. Consumo'!$A$9:$A$25</c:f>
              <c:numCache/>
            </c:numRef>
          </c:cat>
          <c:val>
            <c:numRef>
              <c:f>'Cuadro 15 PMedio Sect. Consumo'!$E$9:$E$25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3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"/>
          <c:y val="0.940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 INVERSIÓN TOTAL  EJECUTADA EN EL 
SECTOR ELÉCTRICO 1995-2011  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825"/>
          <c:y val="0.13925"/>
          <c:w val="0.8535"/>
          <c:h val="0.7675"/>
        </c:manualLayout>
      </c:layout>
      <c:lineChart>
        <c:grouping val="standard"/>
        <c:varyColors val="0"/>
        <c:ser>
          <c:idx val="0"/>
          <c:order val="0"/>
          <c:tx>
            <c:v>Generación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'Cuado 1.4 - INVERSIONES'!$B$15:$B$31</c:f>
              <c:numCache/>
            </c:numRef>
          </c:cat>
          <c:val>
            <c:numRef>
              <c:f>'Cuado 1.4 - INVERSIONES'!$E$15:$E$31</c:f>
              <c:numCache/>
            </c:numRef>
          </c:val>
          <c:smooth val="0"/>
        </c:ser>
        <c:ser>
          <c:idx val="1"/>
          <c:order val="1"/>
          <c:tx>
            <c:v>Transmisión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'Cuado 1.4 - INVERSIONES'!$B$15:$B$31</c:f>
              <c:numCache/>
            </c:numRef>
          </c:cat>
          <c:val>
            <c:numRef>
              <c:f>'Cuado 1.4 - INVERSIONES'!$F$15:$F$31</c:f>
              <c:numCache/>
            </c:numRef>
          </c:val>
          <c:smooth val="0"/>
        </c:ser>
        <c:ser>
          <c:idx val="2"/>
          <c:order val="2"/>
          <c:tx>
            <c:v>Distribución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E3E3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'Cuado 1.4 - INVERSIONES'!$B$15:$B$31</c:f>
              <c:numCache/>
            </c:numRef>
          </c:cat>
          <c:val>
            <c:numRef>
              <c:f>'Cuado 1.4 - INVERSIONES'!$G$15:$G$31</c:f>
              <c:numCache/>
            </c:numRef>
          </c:val>
          <c:smooth val="0"/>
        </c:ser>
        <c:ser>
          <c:idx val="3"/>
          <c:order val="3"/>
          <c:tx>
            <c:v>Electrificación Rural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FF"/>
              </a:solidFill>
              <a:ln>
                <a:solidFill>
                  <a:srgbClr val="A0E0E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'Cuado 1.4 - INVERSIONES'!$B$15:$B$31</c:f>
              <c:numCache/>
            </c:numRef>
          </c:cat>
          <c:val>
            <c:numRef>
              <c:f>'Cuado 1.4 - INVERSIONES'!$P$15:$P$31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  <c:max val="1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113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5"/>
          <c:y val="0.94725"/>
          <c:w val="0.755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1 995 -2 011</a:t>
            </a:r>
          </a:p>
        </c:rich>
      </c:tx>
      <c:layout>
        <c:manualLayout>
          <c:xMode val="factor"/>
          <c:yMode val="factor"/>
          <c:x val="-0.0317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835"/>
          <c:y val="0.308"/>
          <c:w val="0.84775"/>
          <c:h val="0.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2.1 PInstalada'!$G$8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PInstalada'!$G$10:$G$26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PInstalada'!$H$10:$H$26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PInstalada'!$I$10:$I$26</c:f>
              <c:numCache/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2813"/>
        <c:crosses val="autoZero"/>
        <c:auto val="1"/>
        <c:lblOffset val="100"/>
        <c:tickLblSkip val="1"/>
        <c:noMultiLvlLbl val="0"/>
      </c:cat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5"/>
          <c:y val="0.86225"/>
          <c:w val="0.344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1 995 - 2 011</a:t>
            </a:r>
          </a:p>
        </c:rich>
      </c:tx>
      <c:layout>
        <c:manualLayout>
          <c:xMode val="factor"/>
          <c:yMode val="factor"/>
          <c:x val="0.026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9"/>
          <c:y val="0.2875"/>
          <c:w val="0.86"/>
          <c:h val="0.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2.1 PInstalada'!$K$8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PInstalada'!$K$10:$K$26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PInstalada'!$L$10:$L$26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PInstalada'!$M$10:$M$26</c:f>
              <c:numCache/>
            </c:numRef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75"/>
          <c:y val="0.87225"/>
          <c:w val="0.353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1 995 - 2 011</a:t>
            </a:r>
          </a:p>
        </c:rich>
      </c:tx>
      <c:layout>
        <c:manualLayout>
          <c:xMode val="factor"/>
          <c:yMode val="factor"/>
          <c:x val="-0.00575"/>
          <c:y val="0.06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"/>
          <c:y val="0.165"/>
          <c:w val="0.87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2.1 PInstalada'!$C$8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PInstalada'!$C$10:$C$26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PInstalada'!$D$10:$D$26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2.1 PInstalada'!$B$10:$B$26</c:f>
              <c:strCache/>
            </c:strRef>
          </c:cat>
          <c:val>
            <c:numRef>
              <c:f>'Cuadro 2.1 PInstalada'!$E$10:$E$26</c:f>
              <c:numCache/>
            </c:numRef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5"/>
          <c:y val="0.85225"/>
          <c:w val="0.351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1 995 - 2 011</a:t>
            </a:r>
          </a:p>
        </c:rich>
      </c:tx>
      <c:layout>
        <c:manualLayout>
          <c:xMode val="factor"/>
          <c:yMode val="factor"/>
          <c:x val="0.040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97"/>
          <c:y val="0.177"/>
          <c:w val="0.806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3.1 PEFectiva'!$G$7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PEFectiva'!$G$9:$G$25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PEFectiva'!$H$9:$H$25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PEFectiva'!$I$9:$I$25</c:f>
              <c:numCache/>
            </c:numRef>
          </c:val>
        </c:ser>
        <c:axId val="12462106"/>
        <c:axId val="45050091"/>
      </c:bar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2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9"/>
          <c:y val="0.89675"/>
          <c:w val="0.333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1 995 - 2 011</a:t>
            </a:r>
          </a:p>
        </c:rich>
      </c:tx>
      <c:layout>
        <c:manualLayout>
          <c:xMode val="factor"/>
          <c:yMode val="factor"/>
          <c:x val="0.04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2775"/>
          <c:y val="0.263"/>
          <c:w val="0.7875"/>
          <c:h val="0.5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3.1 PEFectiva'!$K$7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PEFectiva'!$K$9:$K$25</c:f>
              <c:numCache/>
            </c:numRef>
          </c:val>
        </c:ser>
        <c:ser>
          <c:idx val="1"/>
          <c:order val="1"/>
          <c:tx>
            <c:v>Hidro</c:v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PEFectiva'!$L$9:$L$25</c:f>
              <c:numCache/>
            </c:numRef>
          </c:val>
        </c:ser>
        <c:ser>
          <c:idx val="2"/>
          <c:order val="2"/>
          <c:tx>
            <c:v>Termo</c:v>
          </c:tx>
          <c:spPr>
            <a:solidFill>
              <a:srgbClr val="FFC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3.1 PEFectiva'!$B$9:$B$25</c:f>
              <c:numCache/>
            </c:numRef>
          </c:cat>
          <c:val>
            <c:numRef>
              <c:f>'Cuadro 3.1 PEFectiva'!$M$9:$M$25</c:f>
              <c:numCache/>
            </c:numRef>
          </c:val>
        </c:ser>
        <c:axId val="2797636"/>
        <c:axId val="25178725"/>
      </c:bar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3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85025"/>
          <c:w val="0.356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70</xdr:row>
      <xdr:rowOff>0</xdr:rowOff>
    </xdr:from>
    <xdr:to>
      <xdr:col>26</xdr:col>
      <xdr:colOff>57150</xdr:colOff>
      <xdr:row>74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8116550" y="11696700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657225</xdr:colOff>
      <xdr:row>75</xdr:row>
      <xdr:rowOff>0</xdr:rowOff>
    </xdr:from>
    <xdr:to>
      <xdr:col>26</xdr:col>
      <xdr:colOff>38100</xdr:colOff>
      <xdr:row>77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8116550" y="12525375"/>
          <a:ext cx="0" cy="381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57150</xdr:rowOff>
    </xdr:from>
    <xdr:to>
      <xdr:col>9</xdr:col>
      <xdr:colOff>247650</xdr:colOff>
      <xdr:row>55</xdr:row>
      <xdr:rowOff>133350</xdr:rowOff>
    </xdr:to>
    <xdr:graphicFrame>
      <xdr:nvGraphicFramePr>
        <xdr:cNvPr id="1" name="Chart 3"/>
        <xdr:cNvGraphicFramePr/>
      </xdr:nvGraphicFramePr>
      <xdr:xfrm>
        <a:off x="1838325" y="6086475"/>
        <a:ext cx="6096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1447800</xdr:colOff>
      <xdr:row>56</xdr:row>
      <xdr:rowOff>47625</xdr:rowOff>
    </xdr:from>
    <xdr:to>
      <xdr:col>9</xdr:col>
      <xdr:colOff>247650</xdr:colOff>
      <xdr:row>75</xdr:row>
      <xdr:rowOff>95250</xdr:rowOff>
    </xdr:to>
    <xdr:graphicFrame>
      <xdr:nvGraphicFramePr>
        <xdr:cNvPr id="2" name="Chart 4"/>
        <xdr:cNvGraphicFramePr/>
      </xdr:nvGraphicFramePr>
      <xdr:xfrm>
        <a:off x="1809750" y="9315450"/>
        <a:ext cx="61245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38</xdr:row>
      <xdr:rowOff>104775</xdr:rowOff>
    </xdr:from>
    <xdr:to>
      <xdr:col>10</xdr:col>
      <xdr:colOff>381000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42950" y="6457950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61</xdr:row>
      <xdr:rowOff>76200</xdr:rowOff>
    </xdr:from>
    <xdr:to>
      <xdr:col>10</xdr:col>
      <xdr:colOff>371475</xdr:colOff>
      <xdr:row>84</xdr:row>
      <xdr:rowOff>76200</xdr:rowOff>
    </xdr:to>
    <xdr:graphicFrame>
      <xdr:nvGraphicFramePr>
        <xdr:cNvPr id="2" name="Chart 2"/>
        <xdr:cNvGraphicFramePr/>
      </xdr:nvGraphicFramePr>
      <xdr:xfrm>
        <a:off x="695325" y="10153650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40</xdr:row>
      <xdr:rowOff>47625</xdr:rowOff>
    </xdr:from>
    <xdr:to>
      <xdr:col>9</xdr:col>
      <xdr:colOff>466725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028700" y="6705600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61</xdr:row>
      <xdr:rowOff>152400</xdr:rowOff>
    </xdr:from>
    <xdr:to>
      <xdr:col>9</xdr:col>
      <xdr:colOff>476250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1057275" y="10210800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41</xdr:row>
      <xdr:rowOff>47625</xdr:rowOff>
    </xdr:from>
    <xdr:to>
      <xdr:col>9</xdr:col>
      <xdr:colOff>466725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1104900" y="6867525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62</xdr:row>
      <xdr:rowOff>152400</xdr:rowOff>
    </xdr:from>
    <xdr:to>
      <xdr:col>9</xdr:col>
      <xdr:colOff>476250</xdr:colOff>
      <xdr:row>82</xdr:row>
      <xdr:rowOff>133350</xdr:rowOff>
    </xdr:to>
    <xdr:graphicFrame>
      <xdr:nvGraphicFramePr>
        <xdr:cNvPr id="2" name="Chart 2"/>
        <xdr:cNvGraphicFramePr/>
      </xdr:nvGraphicFramePr>
      <xdr:xfrm>
        <a:off x="1133475" y="10372725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114300</xdr:rowOff>
    </xdr:from>
    <xdr:to>
      <xdr:col>7</xdr:col>
      <xdr:colOff>19050</xdr:colOff>
      <xdr:row>54</xdr:row>
      <xdr:rowOff>66675</xdr:rowOff>
    </xdr:to>
    <xdr:graphicFrame>
      <xdr:nvGraphicFramePr>
        <xdr:cNvPr id="1" name="Chart 4"/>
        <xdr:cNvGraphicFramePr/>
      </xdr:nvGraphicFramePr>
      <xdr:xfrm>
        <a:off x="257175" y="5400675"/>
        <a:ext cx="6296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32</xdr:row>
      <xdr:rowOff>123825</xdr:rowOff>
    </xdr:from>
    <xdr:to>
      <xdr:col>7</xdr:col>
      <xdr:colOff>152400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666750" y="5514975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56</xdr:row>
      <xdr:rowOff>9525</xdr:rowOff>
    </xdr:from>
    <xdr:to>
      <xdr:col>7</xdr:col>
      <xdr:colOff>171450</xdr:colOff>
      <xdr:row>78</xdr:row>
      <xdr:rowOff>152400</xdr:rowOff>
    </xdr:to>
    <xdr:graphicFrame>
      <xdr:nvGraphicFramePr>
        <xdr:cNvPr id="2" name="Chart 20"/>
        <xdr:cNvGraphicFramePr/>
      </xdr:nvGraphicFramePr>
      <xdr:xfrm>
        <a:off x="676275" y="9286875"/>
        <a:ext cx="68580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57150</xdr:rowOff>
    </xdr:from>
    <xdr:to>
      <xdr:col>8</xdr:col>
      <xdr:colOff>38100</xdr:colOff>
      <xdr:row>58</xdr:row>
      <xdr:rowOff>57150</xdr:rowOff>
    </xdr:to>
    <xdr:graphicFrame>
      <xdr:nvGraphicFramePr>
        <xdr:cNvPr id="1" name="Chart 3"/>
        <xdr:cNvGraphicFramePr/>
      </xdr:nvGraphicFramePr>
      <xdr:xfrm>
        <a:off x="85725" y="6048375"/>
        <a:ext cx="7429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57150</xdr:rowOff>
    </xdr:from>
    <xdr:to>
      <xdr:col>8</xdr:col>
      <xdr:colOff>38100</xdr:colOff>
      <xdr:row>58</xdr:row>
      <xdr:rowOff>76200</xdr:rowOff>
    </xdr:to>
    <xdr:graphicFrame>
      <xdr:nvGraphicFramePr>
        <xdr:cNvPr id="1" name="Chart 3"/>
        <xdr:cNvGraphicFramePr/>
      </xdr:nvGraphicFramePr>
      <xdr:xfrm>
        <a:off x="19050" y="5495925"/>
        <a:ext cx="6924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57150</xdr:rowOff>
    </xdr:from>
    <xdr:to>
      <xdr:col>6</xdr:col>
      <xdr:colOff>495300</xdr:colOff>
      <xdr:row>60</xdr:row>
      <xdr:rowOff>76200</xdr:rowOff>
    </xdr:to>
    <xdr:graphicFrame>
      <xdr:nvGraphicFramePr>
        <xdr:cNvPr id="1" name="Chart 3"/>
        <xdr:cNvGraphicFramePr/>
      </xdr:nvGraphicFramePr>
      <xdr:xfrm>
        <a:off x="95250" y="5895975"/>
        <a:ext cx="6048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57150</xdr:rowOff>
    </xdr:from>
    <xdr:to>
      <xdr:col>6</xdr:col>
      <xdr:colOff>495300</xdr:colOff>
      <xdr:row>60</xdr:row>
      <xdr:rowOff>76200</xdr:rowOff>
    </xdr:to>
    <xdr:graphicFrame>
      <xdr:nvGraphicFramePr>
        <xdr:cNvPr id="2" name="Chart 3"/>
        <xdr:cNvGraphicFramePr/>
      </xdr:nvGraphicFramePr>
      <xdr:xfrm>
        <a:off x="95250" y="5895975"/>
        <a:ext cx="60483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9525</xdr:rowOff>
    </xdr:from>
    <xdr:to>
      <xdr:col>7</xdr:col>
      <xdr:colOff>457200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66700" y="5524500"/>
        <a:ext cx="6191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80</xdr:row>
      <xdr:rowOff>85725</xdr:rowOff>
    </xdr:from>
    <xdr:to>
      <xdr:col>7</xdr:col>
      <xdr:colOff>600075</xdr:colOff>
      <xdr:row>100</xdr:row>
      <xdr:rowOff>133350</xdr:rowOff>
    </xdr:to>
    <xdr:graphicFrame>
      <xdr:nvGraphicFramePr>
        <xdr:cNvPr id="2" name="Chart 3"/>
        <xdr:cNvGraphicFramePr/>
      </xdr:nvGraphicFramePr>
      <xdr:xfrm>
        <a:off x="390525" y="13249275"/>
        <a:ext cx="62103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40</xdr:row>
      <xdr:rowOff>85725</xdr:rowOff>
    </xdr:from>
    <xdr:to>
      <xdr:col>13</xdr:col>
      <xdr:colOff>533400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276350" y="6800850"/>
        <a:ext cx="99536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809625</xdr:colOff>
      <xdr:row>63</xdr:row>
      <xdr:rowOff>76200</xdr:rowOff>
    </xdr:from>
    <xdr:to>
      <xdr:col>13</xdr:col>
      <xdr:colOff>619125</xdr:colOff>
      <xdr:row>90</xdr:row>
      <xdr:rowOff>114300</xdr:rowOff>
    </xdr:to>
    <xdr:graphicFrame>
      <xdr:nvGraphicFramePr>
        <xdr:cNvPr id="2" name="Chart 2"/>
        <xdr:cNvGraphicFramePr/>
      </xdr:nvGraphicFramePr>
      <xdr:xfrm>
        <a:off x="1295400" y="10610850"/>
        <a:ext cx="100203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51</xdr:row>
      <xdr:rowOff>104775</xdr:rowOff>
    </xdr:from>
    <xdr:to>
      <xdr:col>12</xdr:col>
      <xdr:colOff>495300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400050" y="8601075"/>
        <a:ext cx="81915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69</xdr:row>
      <xdr:rowOff>66675</xdr:rowOff>
    </xdr:from>
    <xdr:to>
      <xdr:col>12</xdr:col>
      <xdr:colOff>466725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90525" y="11477625"/>
        <a:ext cx="81724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33</xdr:row>
      <xdr:rowOff>9525</xdr:rowOff>
    </xdr:from>
    <xdr:to>
      <xdr:col>12</xdr:col>
      <xdr:colOff>495300</xdr:colOff>
      <xdr:row>50</xdr:row>
      <xdr:rowOff>114300</xdr:rowOff>
    </xdr:to>
    <xdr:graphicFrame>
      <xdr:nvGraphicFramePr>
        <xdr:cNvPr id="3" name="Chart 3"/>
        <xdr:cNvGraphicFramePr/>
      </xdr:nvGraphicFramePr>
      <xdr:xfrm>
        <a:off x="371475" y="5591175"/>
        <a:ext cx="82200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49</xdr:row>
      <xdr:rowOff>142875</xdr:rowOff>
    </xdr:from>
    <xdr:to>
      <xdr:col>12</xdr:col>
      <xdr:colOff>428625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542925" y="8439150"/>
        <a:ext cx="8124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67</xdr:row>
      <xdr:rowOff>104775</xdr:rowOff>
    </xdr:from>
    <xdr:to>
      <xdr:col>12</xdr:col>
      <xdr:colOff>428625</xdr:colOff>
      <xdr:row>86</xdr:row>
      <xdr:rowOff>104775</xdr:rowOff>
    </xdr:to>
    <xdr:graphicFrame>
      <xdr:nvGraphicFramePr>
        <xdr:cNvPr id="2" name="Chart 2"/>
        <xdr:cNvGraphicFramePr/>
      </xdr:nvGraphicFramePr>
      <xdr:xfrm>
        <a:off x="571500" y="11315700"/>
        <a:ext cx="80962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31</xdr:row>
      <xdr:rowOff>123825</xdr:rowOff>
    </xdr:from>
    <xdr:to>
      <xdr:col>12</xdr:col>
      <xdr:colOff>419100</xdr:colOff>
      <xdr:row>49</xdr:row>
      <xdr:rowOff>19050</xdr:rowOff>
    </xdr:to>
    <xdr:graphicFrame>
      <xdr:nvGraphicFramePr>
        <xdr:cNvPr id="3" name="Chart 3"/>
        <xdr:cNvGraphicFramePr/>
      </xdr:nvGraphicFramePr>
      <xdr:xfrm>
        <a:off x="561975" y="5505450"/>
        <a:ext cx="8096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57150</xdr:rowOff>
    </xdr:from>
    <xdr:to>
      <xdr:col>8</xdr:col>
      <xdr:colOff>514350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495675" y="590550"/>
        <a:ext cx="4695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37</xdr:row>
      <xdr:rowOff>9525</xdr:rowOff>
    </xdr:from>
    <xdr:to>
      <xdr:col>9</xdr:col>
      <xdr:colOff>95250</xdr:colOff>
      <xdr:row>59</xdr:row>
      <xdr:rowOff>85725</xdr:rowOff>
    </xdr:to>
    <xdr:graphicFrame>
      <xdr:nvGraphicFramePr>
        <xdr:cNvPr id="2" name="Chart 2"/>
        <xdr:cNvGraphicFramePr/>
      </xdr:nvGraphicFramePr>
      <xdr:xfrm>
        <a:off x="285750" y="6076950"/>
        <a:ext cx="8248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31</xdr:row>
      <xdr:rowOff>38100</xdr:rowOff>
    </xdr:from>
    <xdr:to>
      <xdr:col>12</xdr:col>
      <xdr:colOff>57150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933450" y="5267325"/>
        <a:ext cx="6877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51</xdr:row>
      <xdr:rowOff>123825</xdr:rowOff>
    </xdr:from>
    <xdr:to>
      <xdr:col>12</xdr:col>
      <xdr:colOff>38100</xdr:colOff>
      <xdr:row>69</xdr:row>
      <xdr:rowOff>123825</xdr:rowOff>
    </xdr:to>
    <xdr:graphicFrame>
      <xdr:nvGraphicFramePr>
        <xdr:cNvPr id="2" name="Chart 2"/>
        <xdr:cNvGraphicFramePr/>
      </xdr:nvGraphicFramePr>
      <xdr:xfrm>
        <a:off x="923925" y="8591550"/>
        <a:ext cx="6867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70</xdr:row>
      <xdr:rowOff>28575</xdr:rowOff>
    </xdr:from>
    <xdr:to>
      <xdr:col>12</xdr:col>
      <xdr:colOff>9525</xdr:colOff>
      <xdr:row>88</xdr:row>
      <xdr:rowOff>38100</xdr:rowOff>
    </xdr:to>
    <xdr:graphicFrame>
      <xdr:nvGraphicFramePr>
        <xdr:cNvPr id="3" name="Chart 3"/>
        <xdr:cNvGraphicFramePr/>
      </xdr:nvGraphicFramePr>
      <xdr:xfrm>
        <a:off x="876300" y="11572875"/>
        <a:ext cx="68865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41</xdr:row>
      <xdr:rowOff>104775</xdr:rowOff>
    </xdr:from>
    <xdr:to>
      <xdr:col>8</xdr:col>
      <xdr:colOff>123825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266700" y="6934200"/>
        <a:ext cx="7048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32</xdr:row>
      <xdr:rowOff>104775</xdr:rowOff>
    </xdr:from>
    <xdr:to>
      <xdr:col>8</xdr:col>
      <xdr:colOff>9525</xdr:colOff>
      <xdr:row>54</xdr:row>
      <xdr:rowOff>66675</xdr:rowOff>
    </xdr:to>
    <xdr:graphicFrame>
      <xdr:nvGraphicFramePr>
        <xdr:cNvPr id="1" name="Chart 1025"/>
        <xdr:cNvGraphicFramePr/>
      </xdr:nvGraphicFramePr>
      <xdr:xfrm>
        <a:off x="323850" y="5743575"/>
        <a:ext cx="6515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Q1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1.421875" style="0" customWidth="1"/>
    <col min="3" max="18" width="10.57421875" style="0" customWidth="1"/>
    <col min="19" max="19" width="10.421875" style="0" customWidth="1"/>
    <col min="20" max="20" width="1.1484375" style="0" customWidth="1"/>
    <col min="21" max="21" width="7.8515625" style="0" customWidth="1"/>
    <col min="22" max="22" width="9.421875" style="0" customWidth="1"/>
    <col min="23" max="23" width="6.7109375" style="0" customWidth="1"/>
    <col min="24" max="24" width="9.421875" style="0" customWidth="1"/>
    <col min="26" max="26" width="11.421875" style="0" hidden="1" customWidth="1"/>
    <col min="27" max="27" width="12.421875" style="0" hidden="1" customWidth="1"/>
    <col min="28" max="32" width="11.57421875" style="0" hidden="1" customWidth="1"/>
    <col min="33" max="34" width="11.421875" style="0" hidden="1" customWidth="1"/>
    <col min="35" max="36" width="11.57421875" style="0" hidden="1" customWidth="1"/>
    <col min="37" max="40" width="11.421875" style="0" hidden="1" customWidth="1"/>
    <col min="41" max="41" width="11.7109375" style="0" hidden="1" customWidth="1"/>
    <col min="42" max="48" width="11.421875" style="0" hidden="1" customWidth="1"/>
    <col min="49" max="53" width="0" style="0" hidden="1" customWidth="1"/>
    <col min="57" max="57" width="11.421875" style="6" customWidth="1"/>
    <col min="61" max="61" width="11.421875" style="6" customWidth="1"/>
    <col min="65" max="65" width="15.57421875" style="0" bestFit="1" customWidth="1"/>
    <col min="69" max="69" width="15.57421875" style="0" bestFit="1" customWidth="1"/>
  </cols>
  <sheetData>
    <row r="1" ht="23.25">
      <c r="A1" s="31" t="s">
        <v>42</v>
      </c>
    </row>
    <row r="2" ht="12.75">
      <c r="C2" s="6"/>
    </row>
    <row r="3" spans="1:32" ht="18">
      <c r="A3" s="10" t="s">
        <v>41</v>
      </c>
      <c r="AB3" s="15"/>
      <c r="AC3" s="15"/>
      <c r="AD3" s="15"/>
      <c r="AE3" s="15"/>
      <c r="AF3" s="15"/>
    </row>
    <row r="4" spans="3:29" ht="13.5" thickBot="1">
      <c r="C4" s="18"/>
      <c r="G4" s="15"/>
      <c r="H4" s="20"/>
      <c r="J4" s="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B4" s="16"/>
      <c r="AC4" t="s">
        <v>34</v>
      </c>
    </row>
    <row r="5" spans="2:24" ht="1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40</v>
      </c>
      <c r="V5" s="38" t="s">
        <v>39</v>
      </c>
      <c r="W5" s="39" t="s">
        <v>40</v>
      </c>
      <c r="X5" s="40" t="s">
        <v>39</v>
      </c>
    </row>
    <row r="6" spans="2:69" ht="13.5" thickBot="1">
      <c r="B6" s="60" t="s">
        <v>27</v>
      </c>
      <c r="C6" s="840">
        <v>1995</v>
      </c>
      <c r="D6" s="840">
        <v>1996</v>
      </c>
      <c r="E6" s="840">
        <v>1997</v>
      </c>
      <c r="F6" s="840">
        <v>1998</v>
      </c>
      <c r="G6" s="840">
        <v>1999</v>
      </c>
      <c r="H6" s="840">
        <v>2000</v>
      </c>
      <c r="I6" s="840">
        <v>2001</v>
      </c>
      <c r="J6" s="840">
        <v>2002</v>
      </c>
      <c r="K6" s="840">
        <v>2003</v>
      </c>
      <c r="L6" s="840">
        <v>2004</v>
      </c>
      <c r="M6" s="840">
        <v>2005</v>
      </c>
      <c r="N6" s="61">
        <v>2006</v>
      </c>
      <c r="O6" s="61">
        <v>2007</v>
      </c>
      <c r="P6" s="61">
        <v>2008</v>
      </c>
      <c r="Q6" s="61">
        <v>2009</v>
      </c>
      <c r="R6" s="61">
        <v>2010</v>
      </c>
      <c r="S6" s="61">
        <v>2011</v>
      </c>
      <c r="T6" s="61"/>
      <c r="U6" s="62" t="s">
        <v>164</v>
      </c>
      <c r="V6" s="63" t="s">
        <v>172</v>
      </c>
      <c r="W6" s="64" t="s">
        <v>165</v>
      </c>
      <c r="X6" s="65" t="s">
        <v>166</v>
      </c>
      <c r="AA6" s="2">
        <v>1995</v>
      </c>
      <c r="AB6" s="2"/>
      <c r="AC6" s="2">
        <v>1996</v>
      </c>
      <c r="AD6" s="2"/>
      <c r="AE6" s="2">
        <v>1997</v>
      </c>
      <c r="AF6" s="2"/>
      <c r="AG6" s="2">
        <v>1998</v>
      </c>
      <c r="AH6" s="2"/>
      <c r="AI6" s="2">
        <v>1999</v>
      </c>
      <c r="AK6">
        <v>2000</v>
      </c>
      <c r="AM6">
        <v>2001</v>
      </c>
      <c r="AO6">
        <v>2002</v>
      </c>
      <c r="AQ6">
        <v>2003</v>
      </c>
      <c r="AS6" s="23">
        <v>2004</v>
      </c>
      <c r="AT6" s="24"/>
      <c r="AU6" s="23">
        <v>2005</v>
      </c>
      <c r="AW6" s="25">
        <v>2006</v>
      </c>
      <c r="AY6" s="25">
        <v>2007</v>
      </c>
      <c r="BG6" s="77"/>
      <c r="BK6" s="84"/>
      <c r="BL6" s="77"/>
      <c r="BM6" s="77"/>
      <c r="BN6" s="77"/>
      <c r="BO6" s="84"/>
      <c r="BP6" s="77"/>
      <c r="BQ6" s="77"/>
    </row>
    <row r="7" spans="2:69" ht="15">
      <c r="B7" s="67" t="s">
        <v>28</v>
      </c>
      <c r="C7" s="68">
        <v>4461.7</v>
      </c>
      <c r="D7" s="68">
        <v>4662.605</v>
      </c>
      <c r="E7" s="68">
        <v>5192.498</v>
      </c>
      <c r="F7" s="68">
        <v>5515.29</v>
      </c>
      <c r="G7" s="68">
        <v>5742.428</v>
      </c>
      <c r="H7" s="68">
        <v>6066.189</v>
      </c>
      <c r="I7" s="68">
        <v>5906.693</v>
      </c>
      <c r="J7" s="68">
        <v>5935.533</v>
      </c>
      <c r="K7" s="68">
        <v>5970.063</v>
      </c>
      <c r="L7" s="68">
        <v>6016.318600000002</v>
      </c>
      <c r="M7" s="68">
        <v>6200.5256</v>
      </c>
      <c r="N7" s="68">
        <v>6658.143599999999</v>
      </c>
      <c r="O7" s="68">
        <v>7027.517199999999</v>
      </c>
      <c r="P7" s="68">
        <v>7157.935000000003</v>
      </c>
      <c r="Q7" s="68">
        <v>7986.495999999997</v>
      </c>
      <c r="R7" s="68">
        <v>8612.556999999997</v>
      </c>
      <c r="S7" s="68">
        <v>8556.353</v>
      </c>
      <c r="T7" s="68"/>
      <c r="U7" s="69">
        <f>((S7/R7)-1)*100</f>
        <v>-0.6525820380636982</v>
      </c>
      <c r="V7" s="1514">
        <f>((S7/N7)^(1/5))-1</f>
        <v>0.0514463244409924</v>
      </c>
      <c r="W7" s="70">
        <f>((S7/H7)-1)*100</f>
        <v>41.04989145573932</v>
      </c>
      <c r="X7" s="1515">
        <f>((S7/H7)^(1/11))-1</f>
        <v>0.03176155526691682</v>
      </c>
      <c r="AA7" s="3">
        <v>4461.7</v>
      </c>
      <c r="AC7" s="3">
        <v>4662.557999999999</v>
      </c>
      <c r="AD7" s="3"/>
      <c r="AE7" s="3">
        <v>5192.245999999999</v>
      </c>
      <c r="AF7" s="3"/>
      <c r="AG7" s="3">
        <v>5515.678</v>
      </c>
      <c r="AH7" s="3"/>
      <c r="AI7" s="3">
        <v>5742.014</v>
      </c>
      <c r="AJ7" s="3"/>
      <c r="AK7" s="3">
        <v>6066.189</v>
      </c>
      <c r="AL7" s="3"/>
      <c r="AM7" s="3">
        <v>5906.7</v>
      </c>
      <c r="AN7" s="3"/>
      <c r="AO7" s="3">
        <v>5935.533</v>
      </c>
      <c r="AP7" s="3"/>
      <c r="AQ7" s="3">
        <v>5970.063</v>
      </c>
      <c r="AR7" s="3"/>
      <c r="AS7" s="3">
        <v>6016.318600000002</v>
      </c>
      <c r="AT7" s="3"/>
      <c r="AU7" s="3">
        <v>6200.5256</v>
      </c>
      <c r="AV7" s="3"/>
      <c r="AW7" s="3">
        <v>6436.844545999999</v>
      </c>
      <c r="AY7" s="3">
        <v>7027.517199999999</v>
      </c>
      <c r="BC7" s="33"/>
      <c r="BD7" s="79"/>
      <c r="BE7" s="7"/>
      <c r="BF7" s="79"/>
      <c r="BG7" s="33"/>
      <c r="BH7" s="79"/>
      <c r="BI7" s="7"/>
      <c r="BJ7" s="78"/>
      <c r="BK7" s="33"/>
      <c r="BL7" s="86"/>
      <c r="BM7" s="78"/>
      <c r="BN7" s="78"/>
      <c r="BO7" s="33"/>
      <c r="BP7" s="86"/>
      <c r="BQ7" s="78"/>
    </row>
    <row r="8" spans="2:69" ht="12.7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  <c r="V8" s="44"/>
      <c r="W8" s="44"/>
      <c r="X8" s="45"/>
      <c r="AT8" s="21"/>
      <c r="BC8" s="6"/>
      <c r="BG8" s="6"/>
      <c r="BJ8" s="6"/>
      <c r="BK8" s="6"/>
      <c r="BL8" s="6"/>
      <c r="BM8" s="6"/>
      <c r="BN8" s="6"/>
      <c r="BO8" s="6"/>
      <c r="BP8" s="6"/>
      <c r="BQ8" s="6"/>
    </row>
    <row r="9" spans="2:69" ht="12.75">
      <c r="B9" s="46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4"/>
      <c r="W9" s="44"/>
      <c r="X9" s="45"/>
      <c r="AB9" s="14"/>
      <c r="AU9" s="1"/>
      <c r="AW9" s="1"/>
      <c r="BC9" s="6"/>
      <c r="BG9" s="6"/>
      <c r="BJ9" s="6"/>
      <c r="BK9" s="6"/>
      <c r="BL9" s="6"/>
      <c r="BM9" s="6"/>
      <c r="BN9" s="6"/>
      <c r="BO9" s="6"/>
      <c r="BP9" s="6"/>
      <c r="BQ9" s="6"/>
    </row>
    <row r="10" spans="2:69" ht="12.75">
      <c r="B10" s="41" t="s">
        <v>1</v>
      </c>
      <c r="C10" s="47">
        <v>55.85764692303391</v>
      </c>
      <c r="D10" s="47">
        <v>53.462584272410126</v>
      </c>
      <c r="E10" s="47">
        <v>48.39897801452397</v>
      </c>
      <c r="F10" s="47">
        <v>46.631819333906</v>
      </c>
      <c r="G10" s="47">
        <v>46.55648697477924</v>
      </c>
      <c r="H10" s="47">
        <v>47.09423000173585</v>
      </c>
      <c r="I10" s="47">
        <v>50.21924255506459</v>
      </c>
      <c r="J10" s="47">
        <v>50.48360442103517</v>
      </c>
      <c r="K10" s="47">
        <v>50.79187606562946</v>
      </c>
      <c r="L10" s="47">
        <v>50.79298160838758</v>
      </c>
      <c r="M10" s="47">
        <v>51.72241527395678</v>
      </c>
      <c r="N10" s="47">
        <v>48</v>
      </c>
      <c r="O10" s="47">
        <v>46.013380088205274</v>
      </c>
      <c r="P10" s="47">
        <v>45.29275552236784</v>
      </c>
      <c r="Q10" s="47">
        <v>41.03757142055792</v>
      </c>
      <c r="R10" s="47">
        <v>39.913837435270395</v>
      </c>
      <c r="S10" s="47">
        <v>40.35445942915165</v>
      </c>
      <c r="T10" s="47"/>
      <c r="U10" s="48"/>
      <c r="V10" s="44"/>
      <c r="W10" s="44"/>
      <c r="X10" s="45"/>
      <c r="AA10" s="4">
        <v>2479.4</v>
      </c>
      <c r="AB10" s="1183">
        <f>+AA10/AA7</f>
        <v>0.5557074657641706</v>
      </c>
      <c r="AC10">
        <v>2492.7239999999997</v>
      </c>
      <c r="AD10" s="1183">
        <f>+AC10/AC7</f>
        <v>0.5346258427241013</v>
      </c>
      <c r="AE10" s="1">
        <v>2512.9939999999997</v>
      </c>
      <c r="AF10" s="1183">
        <f>+AE10/AE7</f>
        <v>0.4839897801452397</v>
      </c>
      <c r="AG10" s="1">
        <v>2572.061</v>
      </c>
      <c r="AH10" s="1183">
        <f>+AG10/AG7</f>
        <v>0.46631819333906005</v>
      </c>
      <c r="AI10" s="1">
        <v>2673.28</v>
      </c>
      <c r="AJ10" s="1183">
        <f>+AI10/AI7</f>
        <v>0.4655648697477924</v>
      </c>
      <c r="AK10" s="1">
        <v>2856.8250000000003</v>
      </c>
      <c r="AL10" s="1183">
        <f>+AK10/AK7</f>
        <v>0.47094230001735854</v>
      </c>
      <c r="AM10" s="1">
        <v>2966.328</v>
      </c>
      <c r="AN10" s="1183">
        <f>+AM10/AM7</f>
        <v>0.5021971659302149</v>
      </c>
      <c r="AO10" s="1">
        <v>2996.4710000000014</v>
      </c>
      <c r="AP10" s="1183">
        <f>+AO10/AO7</f>
        <v>0.5048360442103517</v>
      </c>
      <c r="AQ10" s="1">
        <v>3032.3070000000002</v>
      </c>
      <c r="AR10" s="1183">
        <f>+AQ10/AQ7</f>
        <v>0.5079187606562946</v>
      </c>
      <c r="AS10" s="1">
        <v>3055.8676000000023</v>
      </c>
      <c r="AT10" s="1183">
        <f>+AS10/AS7</f>
        <v>0.5079298160838758</v>
      </c>
      <c r="AU10" s="1">
        <v>3207.0616000000005</v>
      </c>
      <c r="AV10" s="1183">
        <f>+AU10/AU7</f>
        <v>0.5172241527395678</v>
      </c>
      <c r="AW10" s="1">
        <v>3240.914556</v>
      </c>
      <c r="AX10" s="1183">
        <f>+AW10/AW7</f>
        <v>0.5034943026570337</v>
      </c>
      <c r="AY10" s="1516">
        <v>3233.5982000000004</v>
      </c>
      <c r="AZ10" s="1183">
        <f>+AY10/AY7</f>
        <v>0.46013380088205275</v>
      </c>
      <c r="BA10" s="13">
        <f>+AZ10*100</f>
        <v>46.013380088205274</v>
      </c>
      <c r="BB10" s="13"/>
      <c r="BC10" s="6"/>
      <c r="BD10" s="1183"/>
      <c r="BG10" s="6"/>
      <c r="BH10" s="1183"/>
      <c r="BJ10" s="6"/>
      <c r="BK10" s="6"/>
      <c r="BL10" s="1183"/>
      <c r="BM10" s="6"/>
      <c r="BN10" s="6"/>
      <c r="BO10" s="6"/>
      <c r="BP10" s="1183"/>
      <c r="BQ10" s="6"/>
    </row>
    <row r="11" spans="2:69" ht="12.75">
      <c r="B11" s="41" t="s">
        <v>2</v>
      </c>
      <c r="C11" s="47">
        <v>44.14235307696608</v>
      </c>
      <c r="D11" s="47">
        <v>46.53205386399483</v>
      </c>
      <c r="E11" s="47">
        <v>51.59620711345342</v>
      </c>
      <c r="F11" s="47">
        <v>53.36364813174374</v>
      </c>
      <c r="G11" s="47">
        <v>53.43132218068434</v>
      </c>
      <c r="H11" s="47">
        <v>52.8942306281588</v>
      </c>
      <c r="I11" s="47">
        <v>49.768906496013</v>
      </c>
      <c r="J11" s="47">
        <v>49.50460219831984</v>
      </c>
      <c r="K11" s="47">
        <v>49.19639876497116</v>
      </c>
      <c r="L11" s="47">
        <v>49.19538336949108</v>
      </c>
      <c r="M11" s="47">
        <v>48.266295360509424</v>
      </c>
      <c r="N11" s="47">
        <v>52</v>
      </c>
      <c r="O11" s="47">
        <v>53.976659068155676</v>
      </c>
      <c r="P11" s="47">
        <v>54.697465120876345</v>
      </c>
      <c r="Q11" s="47">
        <v>58.953663784468205</v>
      </c>
      <c r="R11" s="47">
        <v>60.078034897185574</v>
      </c>
      <c r="S11" s="47">
        <v>59.6373595152047</v>
      </c>
      <c r="T11" s="47"/>
      <c r="U11" s="48"/>
      <c r="V11" s="44"/>
      <c r="W11" s="44"/>
      <c r="X11" s="45"/>
      <c r="AA11">
        <v>1982.3</v>
      </c>
      <c r="AB11" s="1183">
        <f>+AA11/AA7</f>
        <v>0.4442925342358294</v>
      </c>
      <c r="AC11">
        <v>2169.584</v>
      </c>
      <c r="AD11" s="1183">
        <f>+AC11/AC7</f>
        <v>0.4653205386399483</v>
      </c>
      <c r="AE11" s="1">
        <v>2679.002</v>
      </c>
      <c r="AF11" s="1183">
        <f>+AE11/AE7</f>
        <v>0.5159620711345342</v>
      </c>
      <c r="AG11" s="1">
        <v>2943.367</v>
      </c>
      <c r="AH11" s="1183">
        <f>+AG11/AG7</f>
        <v>0.5336364813174374</v>
      </c>
      <c r="AI11" s="1">
        <v>3068.034</v>
      </c>
      <c r="AJ11" s="1183">
        <f>+AI11/AI7</f>
        <v>0.5343132218068434</v>
      </c>
      <c r="AK11" s="1">
        <v>3208.664</v>
      </c>
      <c r="AL11" s="1183">
        <f>+AK11/AK7</f>
        <v>0.528942306281588</v>
      </c>
      <c r="AM11" s="1">
        <v>2939.665</v>
      </c>
      <c r="AN11" s="1183">
        <f>+AM11/AM7</f>
        <v>0.49768313948566884</v>
      </c>
      <c r="AO11" s="1">
        <v>2938.3619999999996</v>
      </c>
      <c r="AP11" s="1183">
        <f>+AO11/AO7</f>
        <v>0.49504602198319836</v>
      </c>
      <c r="AQ11" s="1">
        <v>2937.056</v>
      </c>
      <c r="AR11" s="1183">
        <f>+AQ11/AQ7</f>
        <v>0.49196398764971155</v>
      </c>
      <c r="AS11" s="1">
        <v>2959.751</v>
      </c>
      <c r="AT11" s="1183">
        <f>+AS11/AS7</f>
        <v>0.49195383369491086</v>
      </c>
      <c r="AU11" s="1">
        <v>2992.763999999999</v>
      </c>
      <c r="AV11" s="1183">
        <f>+AU11/AU7</f>
        <v>0.48266295360509426</v>
      </c>
      <c r="AW11" s="1">
        <v>3195.2299899999994</v>
      </c>
      <c r="AX11" s="1183">
        <f>+AW11/AW7</f>
        <v>0.4963969484062789</v>
      </c>
      <c r="AY11" s="1516">
        <v>3793.218999999999</v>
      </c>
      <c r="AZ11" s="1183">
        <f>+AY11/AY7</f>
        <v>0.5397665906815567</v>
      </c>
      <c r="BA11" s="13">
        <f>+AZ11*100</f>
        <v>53.976659068155676</v>
      </c>
      <c r="BB11" s="13"/>
      <c r="BC11" s="6"/>
      <c r="BD11" s="1183"/>
      <c r="BG11" s="6"/>
      <c r="BH11" s="1183"/>
      <c r="BJ11" s="6"/>
      <c r="BK11" s="6"/>
      <c r="BL11" s="1183"/>
      <c r="BM11" s="6"/>
      <c r="BN11" s="6"/>
      <c r="BO11" s="6"/>
      <c r="BP11" s="1183"/>
      <c r="BQ11" s="6"/>
    </row>
    <row r="12" spans="2:69" ht="12.75">
      <c r="B12" s="46" t="s">
        <v>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4"/>
      <c r="W12" s="44"/>
      <c r="X12" s="45"/>
      <c r="AB12" s="1183" t="s">
        <v>33</v>
      </c>
      <c r="AE12" s="1"/>
      <c r="AG12" s="1"/>
      <c r="AI12" s="1"/>
      <c r="AK12" s="1"/>
      <c r="AM12" s="1"/>
      <c r="AO12" s="1"/>
      <c r="AQ12" s="1"/>
      <c r="AS12" s="1"/>
      <c r="AY12" s="32"/>
      <c r="BA12" s="13"/>
      <c r="BB12" s="13"/>
      <c r="BC12" s="6"/>
      <c r="BG12" s="6"/>
      <c r="BJ12" s="6"/>
      <c r="BK12" s="6"/>
      <c r="BM12" s="6"/>
      <c r="BN12" s="6"/>
      <c r="BO12" s="6"/>
      <c r="BQ12" s="6"/>
    </row>
    <row r="13" spans="2:69" ht="12.75">
      <c r="B13" s="41" t="s">
        <v>4</v>
      </c>
      <c r="C13" s="47">
        <v>62.80935517851941</v>
      </c>
      <c r="D13" s="47">
        <v>62.96811750116568</v>
      </c>
      <c r="E13" s="47">
        <v>65.81363825982052</v>
      </c>
      <c r="F13" s="47">
        <v>65.79231057360491</v>
      </c>
      <c r="G13" s="47">
        <v>65.46077735094342</v>
      </c>
      <c r="H13" s="47">
        <v>64.96314242764278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4"/>
      <c r="W13" s="44"/>
      <c r="X13" s="45"/>
      <c r="AA13">
        <v>2802.3650000000002</v>
      </c>
      <c r="AB13" s="1186">
        <f>+AA13/AA7</f>
        <v>0.6280935517851941</v>
      </c>
      <c r="AC13">
        <v>2935.9249999999997</v>
      </c>
      <c r="AD13" s="1186">
        <f>+AC13/AC7</f>
        <v>0.6296811750116568</v>
      </c>
      <c r="AE13" s="1">
        <v>3417.206</v>
      </c>
      <c r="AF13" s="1183">
        <f>+AE13/AE7</f>
        <v>0.6581363825982052</v>
      </c>
      <c r="AG13" s="1">
        <v>3628.8919999999994</v>
      </c>
      <c r="AH13" s="1183">
        <f>+AG13/AG7</f>
        <v>0.6579231057360491</v>
      </c>
      <c r="AI13" s="1">
        <v>3758.767</v>
      </c>
      <c r="AJ13" s="1183">
        <f>+AI13/AI7</f>
        <v>0.6546077735094341</v>
      </c>
      <c r="AK13" s="1">
        <v>3940.787</v>
      </c>
      <c r="AL13" s="1183">
        <f>+AK13/AK7</f>
        <v>0.6496314242764278</v>
      </c>
      <c r="AM13" s="1"/>
      <c r="AN13" s="1183"/>
      <c r="AO13" s="1"/>
      <c r="AP13" s="1183"/>
      <c r="AQ13" s="1"/>
      <c r="AR13" s="1183"/>
      <c r="AS13" s="1"/>
      <c r="AT13" s="1183"/>
      <c r="AY13" s="32"/>
      <c r="BA13" s="13"/>
      <c r="BB13" s="13"/>
      <c r="BC13" s="6"/>
      <c r="BG13" s="6"/>
      <c r="BJ13" s="6"/>
      <c r="BK13" s="6"/>
      <c r="BM13" s="6"/>
      <c r="BN13" s="6"/>
      <c r="BO13" s="6"/>
      <c r="BQ13" s="6"/>
    </row>
    <row r="14" spans="2:69" ht="12.75">
      <c r="B14" s="41" t="s">
        <v>5</v>
      </c>
      <c r="C14" s="47">
        <v>14.486854786292222</v>
      </c>
      <c r="D14" s="47">
        <v>13.955429616103437</v>
      </c>
      <c r="E14" s="47">
        <v>15.020956248991284</v>
      </c>
      <c r="F14" s="47">
        <v>14.101765911643138</v>
      </c>
      <c r="G14" s="47">
        <v>14.649877203364536</v>
      </c>
      <c r="H14" s="47">
        <v>16.36660183189149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4"/>
      <c r="W14" s="44"/>
      <c r="X14" s="45"/>
      <c r="AA14">
        <v>646.36</v>
      </c>
      <c r="AB14" s="1186">
        <f>+AA14/AA7</f>
        <v>0.14486854786292222</v>
      </c>
      <c r="AC14">
        <v>650.68</v>
      </c>
      <c r="AD14" s="1186">
        <f>+AC14/AC7</f>
        <v>0.13955429616103437</v>
      </c>
      <c r="AE14" s="1">
        <v>779.925</v>
      </c>
      <c r="AF14" s="1183">
        <f>+AE14/AE7</f>
        <v>0.15020956248991285</v>
      </c>
      <c r="AG14" s="1">
        <v>777.808</v>
      </c>
      <c r="AH14" s="1183">
        <f>+AG14/AG7</f>
        <v>0.14101765911643138</v>
      </c>
      <c r="AI14" s="1">
        <v>841.1980000000001</v>
      </c>
      <c r="AJ14" s="1183">
        <f>+AI14/AI7</f>
        <v>0.14649877203364536</v>
      </c>
      <c r="AK14" s="1">
        <v>992.8290000000001</v>
      </c>
      <c r="AL14" s="1183">
        <f>+AK14/AK7</f>
        <v>0.1636660183189149</v>
      </c>
      <c r="AM14" s="1"/>
      <c r="AN14" s="1183"/>
      <c r="AO14" s="1"/>
      <c r="AP14" s="1183"/>
      <c r="AQ14" s="1"/>
      <c r="AR14" s="1183"/>
      <c r="AS14" s="1"/>
      <c r="AT14" s="1183"/>
      <c r="AY14" s="32"/>
      <c r="BA14" s="13"/>
      <c r="BB14" s="13"/>
      <c r="BC14" s="6"/>
      <c r="BG14" s="6"/>
      <c r="BJ14" s="6"/>
      <c r="BK14" s="6"/>
      <c r="BM14" s="6"/>
      <c r="BN14" s="6"/>
      <c r="BO14" s="6"/>
      <c r="BQ14" s="6"/>
    </row>
    <row r="15" spans="2:69" ht="12.75">
      <c r="B15" s="41" t="s">
        <v>26</v>
      </c>
      <c r="C15" s="47"/>
      <c r="D15" s="47"/>
      <c r="E15" s="47"/>
      <c r="F15" s="47"/>
      <c r="G15" s="47"/>
      <c r="H15" s="47"/>
      <c r="I15" s="47">
        <v>82.6120507220614</v>
      </c>
      <c r="J15" s="47">
        <v>83.79291295322594</v>
      </c>
      <c r="K15" s="47">
        <v>83.9648760825472</v>
      </c>
      <c r="L15" s="47">
        <v>84.10867070769822</v>
      </c>
      <c r="M15" s="47">
        <v>83.75421593292027</v>
      </c>
      <c r="N15" s="47">
        <v>83.7703222047022</v>
      </c>
      <c r="O15" s="47">
        <v>84.69569025032057</v>
      </c>
      <c r="P15" s="47">
        <v>82.94860179646784</v>
      </c>
      <c r="Q15" s="47">
        <v>83.63158261144815</v>
      </c>
      <c r="R15" s="47">
        <v>85.12121313101326</v>
      </c>
      <c r="S15" s="47">
        <v>85.61375389725039</v>
      </c>
      <c r="T15" s="47"/>
      <c r="U15" s="48"/>
      <c r="V15" s="44"/>
      <c r="W15" s="44"/>
      <c r="X15" s="45"/>
      <c r="AB15" s="1186"/>
      <c r="AD15" s="15"/>
      <c r="AE15" s="1"/>
      <c r="AG15" s="1"/>
      <c r="AI15" s="1"/>
      <c r="AK15" s="1"/>
      <c r="AM15" s="1">
        <v>4879.646000000001</v>
      </c>
      <c r="AN15" s="1183">
        <f>+AM15/AM7</f>
        <v>0.826120507220614</v>
      </c>
      <c r="AO15" s="1">
        <v>4973.5560000000005</v>
      </c>
      <c r="AP15" s="1183">
        <f>+AO15/AO7</f>
        <v>0.8379291295322594</v>
      </c>
      <c r="AQ15" s="1">
        <v>5012.756</v>
      </c>
      <c r="AR15" s="1183">
        <f>+AQ15/AQ7</f>
        <v>0.839648760825472</v>
      </c>
      <c r="AS15" s="1">
        <v>5060.245600000002</v>
      </c>
      <c r="AT15" s="1183">
        <f>+AS15/AS7</f>
        <v>0.8410867070769823</v>
      </c>
      <c r="AU15" s="1">
        <v>5193.2016</v>
      </c>
      <c r="AV15" s="1183">
        <f>+AU15/AU7</f>
        <v>0.8375421593292027</v>
      </c>
      <c r="AW15" s="1">
        <v>5392.165416</v>
      </c>
      <c r="AX15" s="1183">
        <f>+AW15/AW7</f>
        <v>0.837703222047022</v>
      </c>
      <c r="AY15" s="1516">
        <v>5952.0042</v>
      </c>
      <c r="AZ15" s="1183">
        <f>+AY15/AY7</f>
        <v>0.8469569025032057</v>
      </c>
      <c r="BA15" s="13">
        <f>+AZ15*100</f>
        <v>84.69569025032057</v>
      </c>
      <c r="BB15" s="13"/>
      <c r="BC15" s="6"/>
      <c r="BD15" s="1183"/>
      <c r="BG15" s="6"/>
      <c r="BH15" s="1183"/>
      <c r="BJ15" s="6"/>
      <c r="BK15" s="6"/>
      <c r="BL15" s="1183"/>
      <c r="BM15" s="6"/>
      <c r="BN15" s="6"/>
      <c r="BO15" s="6"/>
      <c r="BP15" s="1183"/>
      <c r="BQ15" s="6"/>
    </row>
    <row r="16" spans="2:69" ht="12.75">
      <c r="B16" s="41" t="s">
        <v>6</v>
      </c>
      <c r="C16" s="47">
        <v>22.70379003518838</v>
      </c>
      <c r="D16" s="47">
        <v>23.07746091308677</v>
      </c>
      <c r="E16" s="47">
        <v>19.170258882187017</v>
      </c>
      <c r="F16" s="47">
        <v>20.098889021440336</v>
      </c>
      <c r="G16" s="47">
        <v>19.89655545946074</v>
      </c>
      <c r="H16" s="47">
        <v>18.67025574046572</v>
      </c>
      <c r="I16" s="47">
        <v>17.38783076844939</v>
      </c>
      <c r="J16" s="47">
        <v>16.207087046774056</v>
      </c>
      <c r="K16" s="47">
        <v>16.035123917452797</v>
      </c>
      <c r="L16" s="47">
        <v>15.89132929230177</v>
      </c>
      <c r="M16" s="47">
        <v>16.24578406707973</v>
      </c>
      <c r="N16" s="47">
        <v>16.229677795297807</v>
      </c>
      <c r="O16" s="47">
        <v>15.304309749679454</v>
      </c>
      <c r="P16" s="47">
        <v>17.051398203532166</v>
      </c>
      <c r="Q16" s="47">
        <v>16.368417388551894</v>
      </c>
      <c r="R16" s="47">
        <v>14.878786868986776</v>
      </c>
      <c r="S16" s="47">
        <v>14.386246102749617</v>
      </c>
      <c r="T16" s="47"/>
      <c r="U16" s="48"/>
      <c r="V16" s="87"/>
      <c r="W16" s="44"/>
      <c r="X16" s="45"/>
      <c r="AA16">
        <v>1012.975</v>
      </c>
      <c r="AB16" s="1186">
        <f>+AA16/AA7</f>
        <v>0.22703790035188381</v>
      </c>
      <c r="AC16" s="13">
        <v>1076</v>
      </c>
      <c r="AD16" s="1186">
        <f>+AC16/AC7</f>
        <v>0.2307746091308677</v>
      </c>
      <c r="AE16" s="1">
        <v>995.3669999999998</v>
      </c>
      <c r="AF16" s="1183">
        <f>+AE16/AE7</f>
        <v>0.19170258882187016</v>
      </c>
      <c r="AG16" s="1">
        <v>1108.59</v>
      </c>
      <c r="AH16" s="1183">
        <f>+AG16/AG7</f>
        <v>0.20098889021440336</v>
      </c>
      <c r="AI16" s="1">
        <v>1142.463</v>
      </c>
      <c r="AJ16" s="1183">
        <f>+AI16/AI7</f>
        <v>0.19896555459460738</v>
      </c>
      <c r="AK16" s="1">
        <v>1132.573</v>
      </c>
      <c r="AL16" s="1183">
        <f>+AK16/AK7</f>
        <v>0.1867025574046572</v>
      </c>
      <c r="AM16" s="1">
        <v>1027.047</v>
      </c>
      <c r="AN16" s="1183">
        <f>+AM16/AM7</f>
        <v>0.1738783076844939</v>
      </c>
      <c r="AO16" s="1">
        <v>961.9769999999997</v>
      </c>
      <c r="AP16" s="1183">
        <f>+AO16/AO7</f>
        <v>0.16207087046774057</v>
      </c>
      <c r="AQ16" s="1">
        <v>957.3069999999999</v>
      </c>
      <c r="AR16" s="1183">
        <f>+AQ16/AQ7</f>
        <v>0.16035123917452795</v>
      </c>
      <c r="AS16" s="1">
        <v>956.0730000000002</v>
      </c>
      <c r="AT16" s="1183">
        <f>+AS16/AS7</f>
        <v>0.1589132929230177</v>
      </c>
      <c r="AU16" s="1">
        <v>1007.3239999999998</v>
      </c>
      <c r="AV16" s="1183">
        <f>+AU16/AU7</f>
        <v>0.1624578406707973</v>
      </c>
      <c r="AW16" s="1">
        <v>1044.6791299999998</v>
      </c>
      <c r="AX16" s="1183">
        <f>+AW16/AW7</f>
        <v>0.16229677795297806</v>
      </c>
      <c r="AY16" s="1516">
        <v>1075.5130000000004</v>
      </c>
      <c r="AZ16" s="1183">
        <f>+AY16/AY7</f>
        <v>0.15304309749679454</v>
      </c>
      <c r="BA16" s="13">
        <f>+AZ16*100</f>
        <v>15.304309749679454</v>
      </c>
      <c r="BB16" s="13"/>
      <c r="BC16" s="6"/>
      <c r="BD16" s="1183"/>
      <c r="BG16" s="6"/>
      <c r="BH16" s="1183"/>
      <c r="BJ16" s="6"/>
      <c r="BK16" s="6"/>
      <c r="BL16" s="1183"/>
      <c r="BM16" s="6"/>
      <c r="BN16" s="6"/>
      <c r="BO16" s="6"/>
      <c r="BP16" s="1183"/>
      <c r="BQ16" s="6"/>
    </row>
    <row r="17" spans="2:69" ht="12.75">
      <c r="B17" s="46" t="s">
        <v>21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4"/>
      <c r="W17" s="44"/>
      <c r="X17" s="45"/>
      <c r="AB17" s="1183"/>
      <c r="AY17" s="6"/>
      <c r="BA17" s="13"/>
      <c r="BB17" s="13"/>
      <c r="BC17" s="6"/>
      <c r="BD17" s="1183"/>
      <c r="BG17" s="6"/>
      <c r="BH17" s="1183"/>
      <c r="BJ17" s="6"/>
      <c r="BK17" s="6"/>
      <c r="BL17" s="1183"/>
      <c r="BM17" s="6"/>
      <c r="BN17" s="6"/>
      <c r="BO17" s="6"/>
      <c r="BP17" s="1183"/>
      <c r="BQ17" s="6"/>
    </row>
    <row r="18" spans="2:69" ht="12.75">
      <c r="B18" s="41" t="s">
        <v>19</v>
      </c>
      <c r="C18" s="47">
        <v>71.40103547974988</v>
      </c>
      <c r="D18" s="47">
        <v>71.90975425935721</v>
      </c>
      <c r="E18" s="47">
        <v>83.29283704970837</v>
      </c>
      <c r="F18" s="47">
        <v>83.99177762008588</v>
      </c>
      <c r="G18" s="47">
        <v>84.07901826780638</v>
      </c>
      <c r="H18" s="47">
        <v>84.87785329471271</v>
      </c>
      <c r="I18" s="47">
        <v>85.50991247227724</v>
      </c>
      <c r="J18" s="47">
        <v>85.38493510186869</v>
      </c>
      <c r="K18" s="47">
        <v>85.34420826044884</v>
      </c>
      <c r="L18" s="47">
        <v>84.7033200668595</v>
      </c>
      <c r="M18" s="47">
        <v>84.19663004052431</v>
      </c>
      <c r="N18" s="47">
        <v>84.12792568316905</v>
      </c>
      <c r="O18" s="47">
        <v>85.23245165447621</v>
      </c>
      <c r="P18" s="47">
        <v>83.78090887944639</v>
      </c>
      <c r="Q18" s="47">
        <v>84.18605606263378</v>
      </c>
      <c r="R18" s="47">
        <v>84.86638753160065</v>
      </c>
      <c r="S18" s="47">
        <v>85.45432849719968</v>
      </c>
      <c r="T18" s="47"/>
      <c r="U18" s="48"/>
      <c r="V18" s="44"/>
      <c r="W18" s="44"/>
      <c r="X18" s="45"/>
      <c r="AA18">
        <v>3185.7</v>
      </c>
      <c r="AB18" s="1183">
        <f>+AA18/AA7</f>
        <v>0.7140103547974987</v>
      </c>
      <c r="AC18">
        <v>3352.834</v>
      </c>
      <c r="AD18" s="1183">
        <f>+AC18/AC7</f>
        <v>0.7190975425935722</v>
      </c>
      <c r="AE18">
        <v>4324.769</v>
      </c>
      <c r="AF18" s="1183">
        <f>+AE18/AE7</f>
        <v>0.8329283704970837</v>
      </c>
      <c r="AG18">
        <v>4632.716</v>
      </c>
      <c r="AH18" s="1183">
        <f>+AG18/AG7</f>
        <v>0.8399177762008588</v>
      </c>
      <c r="AI18">
        <v>4827.829</v>
      </c>
      <c r="AJ18" s="1183">
        <f>+AI18/AI7</f>
        <v>0.8407901826780637</v>
      </c>
      <c r="AK18">
        <v>5148.851</v>
      </c>
      <c r="AL18" s="1183">
        <f>+AK18/AK7</f>
        <v>0.848778532947127</v>
      </c>
      <c r="AM18">
        <v>5050.813999999999</v>
      </c>
      <c r="AN18" s="1183">
        <f>+AM18/AM7</f>
        <v>0.8550991247227724</v>
      </c>
      <c r="AO18">
        <v>5068.051</v>
      </c>
      <c r="AP18" s="1183">
        <f>+AO18/AO7</f>
        <v>0.853849351018687</v>
      </c>
      <c r="AQ18">
        <v>5095.103</v>
      </c>
      <c r="AR18" s="1183">
        <f>+AQ18/AQ7</f>
        <v>0.8534420826044884</v>
      </c>
      <c r="AS18" s="1">
        <v>5096.021600000003</v>
      </c>
      <c r="AT18" s="1183">
        <f>+AS18/AS7</f>
        <v>0.847033200668595</v>
      </c>
      <c r="AU18" s="1">
        <v>5220.6336</v>
      </c>
      <c r="AV18" s="1183">
        <f>+AU18/AU7</f>
        <v>0.8419663004052431</v>
      </c>
      <c r="AW18" s="1">
        <v>5415.183795999999</v>
      </c>
      <c r="AX18" s="1183">
        <f>+AW18/AW7</f>
        <v>0.8412792568316905</v>
      </c>
      <c r="AY18" s="1516">
        <v>5989.725199999999</v>
      </c>
      <c r="AZ18" s="1183">
        <f>+AY18/AY7</f>
        <v>0.852324516544762</v>
      </c>
      <c r="BA18" s="13">
        <f>+AZ18*100</f>
        <v>85.23245165447621</v>
      </c>
      <c r="BB18" s="13"/>
      <c r="BC18" s="6"/>
      <c r="BD18" s="1183"/>
      <c r="BG18" s="6"/>
      <c r="BH18" s="1183"/>
      <c r="BJ18" s="6"/>
      <c r="BK18" s="6"/>
      <c r="BL18" s="1183"/>
      <c r="BM18" s="6"/>
      <c r="BN18" s="6"/>
      <c r="BO18" s="6"/>
      <c r="BP18" s="1183"/>
      <c r="BQ18" s="6"/>
    </row>
    <row r="19" spans="2:69" ht="12.75">
      <c r="B19" s="41" t="s">
        <v>20</v>
      </c>
      <c r="C19" s="47">
        <v>28.59896452025013</v>
      </c>
      <c r="D19" s="47">
        <v>28.0902457406428</v>
      </c>
      <c r="E19" s="47">
        <v>16.70716295029165</v>
      </c>
      <c r="F19" s="47">
        <v>16.009128886784183</v>
      </c>
      <c r="G19" s="47">
        <v>15.920981732193615</v>
      </c>
      <c r="H19" s="47">
        <v>15.122146705287292</v>
      </c>
      <c r="I19" s="47">
        <v>14.48996901823353</v>
      </c>
      <c r="J19" s="47">
        <v>14.6150648981313</v>
      </c>
      <c r="K19" s="47">
        <v>14.655791739551157</v>
      </c>
      <c r="L19" s="47">
        <v>15.296679933140503</v>
      </c>
      <c r="M19" s="47">
        <v>15.803369959475694</v>
      </c>
      <c r="N19" s="47">
        <v>15.872074316830956</v>
      </c>
      <c r="O19" s="47">
        <v>14.767548345523803</v>
      </c>
      <c r="P19" s="47">
        <v>16.219091120553625</v>
      </c>
      <c r="Q19" s="47">
        <v>15.813943937366279</v>
      </c>
      <c r="R19" s="47">
        <v>15.133612468399352</v>
      </c>
      <c r="S19" s="47">
        <v>14.545671502800314</v>
      </c>
      <c r="T19" s="47"/>
      <c r="U19" s="48"/>
      <c r="V19" s="44"/>
      <c r="W19" s="44"/>
      <c r="X19" s="45"/>
      <c r="AA19">
        <v>1276</v>
      </c>
      <c r="AB19" s="1183">
        <f>+AA19/AA7</f>
        <v>0.2859896452025013</v>
      </c>
      <c r="AC19">
        <v>1309.724</v>
      </c>
      <c r="AD19" s="1183">
        <f>+AC19/AC7</f>
        <v>0.280902457406428</v>
      </c>
      <c r="AE19">
        <v>867.477</v>
      </c>
      <c r="AF19" s="1183">
        <f>+AE19/AE7</f>
        <v>0.16707162950291649</v>
      </c>
      <c r="AG19">
        <v>883.0120000000001</v>
      </c>
      <c r="AH19" s="1183">
        <f>+AG19/AG7</f>
        <v>0.16009128886784182</v>
      </c>
      <c r="AI19">
        <v>914.185</v>
      </c>
      <c r="AJ19" s="1183">
        <f>+AI19/AI7</f>
        <v>0.15920981732193615</v>
      </c>
      <c r="AK19">
        <v>917.3380000000002</v>
      </c>
      <c r="AL19" s="1183">
        <f>+AK19/AK7</f>
        <v>0.15122146705287293</v>
      </c>
      <c r="AM19">
        <v>855.879</v>
      </c>
      <c r="AN19" s="1183">
        <f>+AM19/AM7</f>
        <v>0.1448996901823353</v>
      </c>
      <c r="AO19">
        <v>867.4819999999997</v>
      </c>
      <c r="AP19" s="1183">
        <f>+AO19/AO7</f>
        <v>0.146150648981313</v>
      </c>
      <c r="AQ19">
        <v>874.96</v>
      </c>
      <c r="AR19" s="1183">
        <f>+AQ19/AQ7</f>
        <v>0.14655791739551158</v>
      </c>
      <c r="AS19" s="1">
        <v>920.297</v>
      </c>
      <c r="AT19" s="1183">
        <f>+AS19/AS7</f>
        <v>0.15296679933140503</v>
      </c>
      <c r="AU19" s="1">
        <v>979.8919999999999</v>
      </c>
      <c r="AV19" s="1183">
        <f>+AU19/AU7</f>
        <v>0.15803369959475694</v>
      </c>
      <c r="AW19" s="1">
        <v>1021.66075</v>
      </c>
      <c r="AX19" s="1183">
        <f>+AW19/AW7</f>
        <v>0.15872074316830956</v>
      </c>
      <c r="AY19" s="1516">
        <v>1037.7920000000006</v>
      </c>
      <c r="AZ19" s="1183">
        <f>+AY19/AY7</f>
        <v>0.14767548345523804</v>
      </c>
      <c r="BA19" s="13">
        <f>+AZ19*100</f>
        <v>14.767548345523803</v>
      </c>
      <c r="BB19" s="13"/>
      <c r="BC19" s="6"/>
      <c r="BD19" s="1183"/>
      <c r="BG19" s="6"/>
      <c r="BH19" s="1183"/>
      <c r="BJ19" s="6"/>
      <c r="BK19" s="6"/>
      <c r="BL19" s="1183"/>
      <c r="BM19" s="6"/>
      <c r="BN19" s="6"/>
      <c r="BO19" s="6"/>
      <c r="BP19" s="1183"/>
      <c r="BQ19" s="6"/>
    </row>
    <row r="20" spans="2:69" ht="12.7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4"/>
      <c r="W20" s="44"/>
      <c r="X20" s="45"/>
      <c r="AY20" s="32"/>
      <c r="BA20" s="13"/>
      <c r="BB20" s="13"/>
      <c r="BC20" s="6"/>
      <c r="BG20" s="6"/>
      <c r="BJ20" s="6"/>
      <c r="BK20" s="6"/>
      <c r="BL20" s="6"/>
      <c r="BM20" s="6"/>
      <c r="BN20" s="6"/>
      <c r="BO20" s="6"/>
      <c r="BP20" s="6"/>
      <c r="BQ20" s="6"/>
    </row>
    <row r="21" spans="2:69" ht="15">
      <c r="B21" s="80" t="s">
        <v>29</v>
      </c>
      <c r="C21" s="66">
        <v>4075.4080000000004</v>
      </c>
      <c r="D21" s="66">
        <v>4003.201</v>
      </c>
      <c r="E21" s="66">
        <v>4581.019</v>
      </c>
      <c r="F21" s="66">
        <v>4781.630999999999</v>
      </c>
      <c r="G21" s="66">
        <v>5116.156</v>
      </c>
      <c r="H21" s="66">
        <v>5554.8460000000005</v>
      </c>
      <c r="I21" s="66">
        <v>5387.177</v>
      </c>
      <c r="J21" s="66">
        <v>5395.669</v>
      </c>
      <c r="K21" s="66">
        <v>5421.807</v>
      </c>
      <c r="L21" s="66">
        <v>5417.959070000002</v>
      </c>
      <c r="M21" s="66">
        <v>5610.925</v>
      </c>
      <c r="N21" s="66">
        <v>5873.4</v>
      </c>
      <c r="O21" s="66">
        <v>6352.0139999999965</v>
      </c>
      <c r="P21" s="66">
        <v>6348.944</v>
      </c>
      <c r="Q21" s="66">
        <v>7256.346999999998</v>
      </c>
      <c r="R21" s="66">
        <v>8000.387</v>
      </c>
      <c r="S21" s="66">
        <v>7873.5989999999965</v>
      </c>
      <c r="T21" s="841"/>
      <c r="U21" s="57">
        <f>((S21/R21)-1)*100</f>
        <v>-1.5847733365898842</v>
      </c>
      <c r="V21" s="1517">
        <f>((S21/N21)^(1/5))-1</f>
        <v>0.060368316664222155</v>
      </c>
      <c r="W21" s="58">
        <f>((S21/H21)-1)*100</f>
        <v>41.742885401323385</v>
      </c>
      <c r="X21" s="1518">
        <f>((S21/H21)^(1/11))-1</f>
        <v>0.03222136208147042</v>
      </c>
      <c r="AA21" s="3">
        <v>4075.4080000000004</v>
      </c>
      <c r="AC21" s="3">
        <v>4003.201</v>
      </c>
      <c r="AE21" s="3">
        <v>4581.019</v>
      </c>
      <c r="AG21" s="3">
        <v>4781.630999999999</v>
      </c>
      <c r="AI21" s="3">
        <v>5116.156</v>
      </c>
      <c r="AK21" s="3">
        <v>5554.8460000000005</v>
      </c>
      <c r="AM21" s="3">
        <v>5387.177</v>
      </c>
      <c r="AO21" s="3">
        <v>5395.669</v>
      </c>
      <c r="AQ21" s="3">
        <v>5421.807</v>
      </c>
      <c r="AS21" s="3">
        <v>5417.959070000002</v>
      </c>
      <c r="AU21" s="3">
        <v>5610.925</v>
      </c>
      <c r="AW21" s="3">
        <v>5796.6394477799995</v>
      </c>
      <c r="AY21" s="33">
        <v>6352.0139999999965</v>
      </c>
      <c r="BA21" s="13"/>
      <c r="BB21" s="13"/>
      <c r="BC21" s="33"/>
      <c r="BD21" s="79"/>
      <c r="BE21" s="7"/>
      <c r="BF21" s="79"/>
      <c r="BG21" s="33"/>
      <c r="BH21" s="79"/>
      <c r="BI21" s="7"/>
      <c r="BJ21" s="78"/>
      <c r="BK21" s="33"/>
      <c r="BL21" s="86"/>
      <c r="BM21" s="78"/>
      <c r="BN21" s="78"/>
      <c r="BO21" s="33"/>
      <c r="BP21" s="86"/>
      <c r="BQ21" s="78"/>
    </row>
    <row r="22" spans="2:69" ht="12.7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4"/>
      <c r="W22" s="44"/>
      <c r="X22" s="45"/>
      <c r="AY22" s="32"/>
      <c r="BA22" s="13"/>
      <c r="BB22" s="13"/>
      <c r="BC22" s="6"/>
      <c r="BG22" s="6"/>
      <c r="BJ22" s="6"/>
      <c r="BK22" s="6"/>
      <c r="BL22" s="6"/>
      <c r="BM22" s="6"/>
      <c r="BN22" s="6"/>
      <c r="BO22" s="6"/>
      <c r="BP22" s="6"/>
      <c r="BQ22" s="6"/>
    </row>
    <row r="23" spans="2:69" ht="12.75">
      <c r="B23" s="46" t="s"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AY23" s="32"/>
      <c r="BA23" s="13"/>
      <c r="BB23" s="13"/>
      <c r="BC23" s="6"/>
      <c r="BG23" s="6"/>
      <c r="BJ23" s="6"/>
      <c r="BK23" s="6"/>
      <c r="BL23" s="6"/>
      <c r="BM23" s="6"/>
      <c r="BN23" s="6"/>
      <c r="BO23" s="6"/>
      <c r="BP23" s="6"/>
      <c r="BQ23" s="6"/>
    </row>
    <row r="24" spans="2:69" ht="12.75">
      <c r="B24" s="41" t="s">
        <v>1</v>
      </c>
      <c r="C24" s="47">
        <v>60.72729405252186</v>
      </c>
      <c r="D24" s="47">
        <v>55.00290892213506</v>
      </c>
      <c r="E24" s="47">
        <v>48.2622752710696</v>
      </c>
      <c r="F24" s="47">
        <v>44.27085653409893</v>
      </c>
      <c r="G24" s="47">
        <v>45.30956444643205</v>
      </c>
      <c r="H24" s="47">
        <v>47.72220508003283</v>
      </c>
      <c r="I24" s="47">
        <v>50.945105386364695</v>
      </c>
      <c r="J24" s="47">
        <v>51.435364178195506</v>
      </c>
      <c r="K24" s="47">
        <v>51.46389386416743</v>
      </c>
      <c r="L24" s="47">
        <v>51.95690911707091</v>
      </c>
      <c r="M24" s="47">
        <v>53.274691784331466</v>
      </c>
      <c r="N24" s="47">
        <v>51</v>
      </c>
      <c r="O24" s="47">
        <v>47.438465973154344</v>
      </c>
      <c r="P24" s="47">
        <v>47.69142710976818</v>
      </c>
      <c r="Q24" s="47">
        <v>42.938519891620395</v>
      </c>
      <c r="R24" s="47">
        <v>41.46605657951298</v>
      </c>
      <c r="S24" s="47">
        <v>42.14121140789621</v>
      </c>
      <c r="T24" s="47"/>
      <c r="U24" s="48"/>
      <c r="V24" s="44"/>
      <c r="W24" s="44"/>
      <c r="X24" s="45"/>
      <c r="AA24">
        <v>2474.885</v>
      </c>
      <c r="AB24" s="1186">
        <f>+AA24/AA21</f>
        <v>0.6072729405252186</v>
      </c>
      <c r="AC24" s="17">
        <v>2201.877</v>
      </c>
      <c r="AD24" s="1186">
        <f>+AC24/AC21</f>
        <v>0.5500290892213506</v>
      </c>
      <c r="AE24" s="1">
        <v>2210.904</v>
      </c>
      <c r="AF24" s="1183">
        <f>+AE24/AE21</f>
        <v>0.482622752710696</v>
      </c>
      <c r="AG24" s="1">
        <v>2116.8689999999997</v>
      </c>
      <c r="AH24" s="1183">
        <f>+AG24/AG21</f>
        <v>0.4427085653409893</v>
      </c>
      <c r="AI24" s="1">
        <v>2318.108</v>
      </c>
      <c r="AJ24" s="1183">
        <f>+AI24/AI21</f>
        <v>0.4530956444643205</v>
      </c>
      <c r="AK24" s="1">
        <v>2650.8950000000004</v>
      </c>
      <c r="AL24" s="1183">
        <f>+AK24/AK21</f>
        <v>0.47722205080032826</v>
      </c>
      <c r="AM24" s="1">
        <v>2744.5029999999997</v>
      </c>
      <c r="AN24" s="1183">
        <f>+AM24/AM21</f>
        <v>0.509451053863647</v>
      </c>
      <c r="AO24" s="1">
        <v>2775.2819999999997</v>
      </c>
      <c r="AP24" s="1183">
        <f>+AO24/AO21</f>
        <v>0.5143536417819551</v>
      </c>
      <c r="AQ24" s="1">
        <v>2790.273</v>
      </c>
      <c r="AR24" s="1183">
        <f>+AQ24/AQ21</f>
        <v>0.5146389386416743</v>
      </c>
      <c r="AS24" s="1">
        <v>2815.004070000001</v>
      </c>
      <c r="AT24" s="1183">
        <f>+AS24/AS21</f>
        <v>0.519569091170709</v>
      </c>
      <c r="AU24" s="1">
        <v>2989.203</v>
      </c>
      <c r="AV24" s="1183">
        <f>+AU24/AU21</f>
        <v>0.5327469178433146</v>
      </c>
      <c r="AW24" s="1">
        <v>3000.1464645799997</v>
      </c>
      <c r="AX24" s="1183">
        <f>+AW24/AW21</f>
        <v>0.5175665127367889</v>
      </c>
      <c r="AY24" s="1516">
        <v>3013.2979999999984</v>
      </c>
      <c r="AZ24" s="1183">
        <f>+AY24/AY21</f>
        <v>0.4743846597315434</v>
      </c>
      <c r="BA24" s="13">
        <f>+AZ24*100</f>
        <v>47.438465973154344</v>
      </c>
      <c r="BB24" s="13"/>
      <c r="BC24" s="6"/>
      <c r="BD24" s="1183"/>
      <c r="BG24" s="6"/>
      <c r="BH24" s="1183"/>
      <c r="BJ24" s="6"/>
      <c r="BK24" s="6"/>
      <c r="BL24" s="1183"/>
      <c r="BM24" s="6"/>
      <c r="BN24" s="6"/>
      <c r="BO24" s="6"/>
      <c r="BP24" s="1183"/>
      <c r="BQ24" s="6"/>
    </row>
    <row r="25" spans="2:69" ht="12.75">
      <c r="B25" s="41" t="s">
        <v>2</v>
      </c>
      <c r="C25" s="47">
        <v>39.27270594747814</v>
      </c>
      <c r="D25" s="47">
        <v>44.990846075428145</v>
      </c>
      <c r="E25" s="47">
        <v>51.73226742783646</v>
      </c>
      <c r="F25" s="47">
        <v>55.72391512435819</v>
      </c>
      <c r="G25" s="47">
        <v>54.6767534062683</v>
      </c>
      <c r="H25" s="47">
        <v>52.26519331048961</v>
      </c>
      <c r="I25" s="47">
        <v>49.04190079516601</v>
      </c>
      <c r="J25" s="47">
        <v>48.551662453719835</v>
      </c>
      <c r="K25" s="47">
        <v>48.52319531108356</v>
      </c>
      <c r="L25" s="47">
        <v>48.03017088868483</v>
      </c>
      <c r="M25" s="47">
        <v>46.712832554347095</v>
      </c>
      <c r="N25" s="47">
        <v>49</v>
      </c>
      <c r="O25" s="47">
        <v>52.55051390000086</v>
      </c>
      <c r="P25" s="47">
        <v>52.29754743466</v>
      </c>
      <c r="Q25" s="47">
        <v>57.05183338117651</v>
      </c>
      <c r="R25" s="47">
        <v>58.5251938437478</v>
      </c>
      <c r="S25" s="47">
        <v>57.84989812155787</v>
      </c>
      <c r="T25" s="47"/>
      <c r="U25" s="48"/>
      <c r="V25" s="44"/>
      <c r="W25" s="44"/>
      <c r="X25" s="45"/>
      <c r="AA25">
        <v>1600.523</v>
      </c>
      <c r="AB25" s="1186">
        <f>+AA25/AA21</f>
        <v>0.39272705947478137</v>
      </c>
      <c r="AC25" s="17">
        <v>1801.074</v>
      </c>
      <c r="AD25" s="1186">
        <f>+AC25/AC21</f>
        <v>0.4499084607542814</v>
      </c>
      <c r="AE25" s="1">
        <v>2369.865</v>
      </c>
      <c r="AF25" s="1183">
        <f>+AE25/AE21</f>
        <v>0.5173226742783646</v>
      </c>
      <c r="AG25" s="1">
        <v>2664.5119999999997</v>
      </c>
      <c r="AH25" s="1183">
        <f>+AG25/AG21</f>
        <v>0.5572391512435819</v>
      </c>
      <c r="AI25" s="1">
        <v>2797.348</v>
      </c>
      <c r="AJ25" s="1183">
        <f>+AI25/AI21</f>
        <v>0.546767534062683</v>
      </c>
      <c r="AK25" s="1">
        <v>2903.251</v>
      </c>
      <c r="AL25" s="1183">
        <f>+AK25/AK21</f>
        <v>0.5226519331048961</v>
      </c>
      <c r="AM25" s="1">
        <v>2641.974</v>
      </c>
      <c r="AN25" s="1183">
        <f>+AM25/AM21</f>
        <v>0.4904190079516601</v>
      </c>
      <c r="AO25" s="1">
        <v>2619.6870000000004</v>
      </c>
      <c r="AP25" s="1183">
        <f>+AO25/AO21</f>
        <v>0.48551662453719835</v>
      </c>
      <c r="AQ25" s="1">
        <v>2630.8340000000003</v>
      </c>
      <c r="AR25" s="1183">
        <f>+AQ25/AQ21</f>
        <v>0.4852319531108356</v>
      </c>
      <c r="AS25" s="1">
        <v>2602.255</v>
      </c>
      <c r="AT25" s="1183">
        <f>+AS25/AS21</f>
        <v>0.4803017088868483</v>
      </c>
      <c r="AU25" s="1">
        <v>2621.022</v>
      </c>
      <c r="AV25" s="1183">
        <f>+AU25/AU21</f>
        <v>0.46712832554347095</v>
      </c>
      <c r="AW25" s="1">
        <v>2795.7929832</v>
      </c>
      <c r="AX25" s="1183">
        <f>+AW25/AW21</f>
        <v>0.4823127276392418</v>
      </c>
      <c r="AY25" s="1516">
        <v>3338.0159999999987</v>
      </c>
      <c r="AZ25" s="1183">
        <f>+AY25/AY21</f>
        <v>0.5255051390000086</v>
      </c>
      <c r="BA25" s="13">
        <f>+AZ25*100</f>
        <v>52.55051390000086</v>
      </c>
      <c r="BB25" s="13"/>
      <c r="BC25" s="6"/>
      <c r="BD25" s="1183"/>
      <c r="BG25" s="6"/>
      <c r="BH25" s="1183"/>
      <c r="BJ25" s="6"/>
      <c r="BK25" s="6"/>
      <c r="BL25" s="1183"/>
      <c r="BM25" s="6"/>
      <c r="BN25" s="6"/>
      <c r="BO25" s="6"/>
      <c r="BP25" s="1183"/>
      <c r="BQ25" s="6"/>
    </row>
    <row r="26" spans="2:69" ht="12.75" customHeight="1">
      <c r="B26" s="46" t="s">
        <v>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4"/>
      <c r="W26" s="44"/>
      <c r="X26" s="45"/>
      <c r="AB26" s="1186"/>
      <c r="AC26" s="15"/>
      <c r="AD26" s="15"/>
      <c r="AY26" s="1516"/>
      <c r="AZ26" s="1183"/>
      <c r="BA26" s="13"/>
      <c r="BB26" s="13"/>
      <c r="BC26" s="6"/>
      <c r="BG26" s="6"/>
      <c r="BJ26" s="6"/>
      <c r="BK26" s="6"/>
      <c r="BM26" s="6"/>
      <c r="BN26" s="6"/>
      <c r="BO26" s="6"/>
      <c r="BQ26" s="6"/>
    </row>
    <row r="27" spans="2:69" ht="12.75">
      <c r="B27" s="41" t="s">
        <v>4</v>
      </c>
      <c r="C27" s="47">
        <v>69.64200884917534</v>
      </c>
      <c r="D27" s="47">
        <v>63.26424778570948</v>
      </c>
      <c r="E27" s="47">
        <v>65.72812730093456</v>
      </c>
      <c r="F27" s="47">
        <v>66.72407385680744</v>
      </c>
      <c r="G27" s="47">
        <v>65.97539246262234</v>
      </c>
      <c r="H27" s="47">
        <v>65.44750295507743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4"/>
      <c r="W27" s="44"/>
      <c r="X27" s="45"/>
      <c r="AA27">
        <v>2838.196</v>
      </c>
      <c r="AB27" s="1186">
        <f>+AA27/AA21</f>
        <v>0.6964200884917534</v>
      </c>
      <c r="AC27" s="17">
        <v>2532.595</v>
      </c>
      <c r="AD27" s="1186">
        <f>+AC27/AC21</f>
        <v>0.6326424778570948</v>
      </c>
      <c r="AE27" s="1">
        <v>3011.0179999999996</v>
      </c>
      <c r="AF27" s="1183">
        <f>+AE27/AE21</f>
        <v>0.6572812730093456</v>
      </c>
      <c r="AG27" s="1">
        <v>3190.499</v>
      </c>
      <c r="AH27" s="1183">
        <f>+AG27/AG21</f>
        <v>0.6672407385680744</v>
      </c>
      <c r="AI27" s="1">
        <v>3375.4040000000005</v>
      </c>
      <c r="AJ27" s="1183">
        <f>+AI27/AI21</f>
        <v>0.6597539246262234</v>
      </c>
      <c r="AK27" s="1">
        <v>3635.5080000000007</v>
      </c>
      <c r="AL27" s="1183">
        <f>+AK27/AK21</f>
        <v>0.6544750295507743</v>
      </c>
      <c r="AM27" s="1">
        <v>4519.924999999999</v>
      </c>
      <c r="AY27" s="1516"/>
      <c r="AZ27" s="1183"/>
      <c r="BA27" s="13"/>
      <c r="BB27" s="13"/>
      <c r="BC27" s="6"/>
      <c r="BG27" s="6"/>
      <c r="BJ27" s="6"/>
      <c r="BK27" s="6"/>
      <c r="BM27" s="6"/>
      <c r="BN27" s="6"/>
      <c r="BO27" s="6"/>
      <c r="BQ27" s="6"/>
    </row>
    <row r="28" spans="2:69" ht="12.75">
      <c r="B28" s="41" t="s">
        <v>5</v>
      </c>
      <c r="C28" s="47">
        <v>15.532432580983302</v>
      </c>
      <c r="D28" s="47">
        <v>24.15047358351479</v>
      </c>
      <c r="E28" s="47">
        <v>15.149031252653614</v>
      </c>
      <c r="F28" s="47">
        <v>13.433491626601887</v>
      </c>
      <c r="G28" s="47">
        <v>14.771324408403498</v>
      </c>
      <c r="H28" s="47">
        <v>17.20584153008022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44"/>
      <c r="W28" s="44"/>
      <c r="X28" s="45"/>
      <c r="AA28">
        <v>633.01</v>
      </c>
      <c r="AB28" s="1186">
        <f>+AA28/AA21</f>
        <v>0.15532432580983302</v>
      </c>
      <c r="AC28" s="17">
        <v>966.7919999999999</v>
      </c>
      <c r="AD28" s="1186">
        <f>+AC28/AC21</f>
        <v>0.2415047358351479</v>
      </c>
      <c r="AE28" s="1">
        <v>693.98</v>
      </c>
      <c r="AF28" s="1183">
        <f>+AE28/AE21</f>
        <v>0.15149031252653614</v>
      </c>
      <c r="AG28" s="1">
        <v>642.34</v>
      </c>
      <c r="AH28" s="1183">
        <f>+AG28/AG21</f>
        <v>0.13433491626601887</v>
      </c>
      <c r="AI28" s="1">
        <v>755.724</v>
      </c>
      <c r="AJ28" s="1183">
        <f>+AI28/AI21</f>
        <v>0.14771324408403497</v>
      </c>
      <c r="AK28" s="1">
        <v>955.758</v>
      </c>
      <c r="AL28" s="1183">
        <f>+AK28/AK21</f>
        <v>0.1720584153008022</v>
      </c>
      <c r="AM28" s="1">
        <v>867.2520000000001</v>
      </c>
      <c r="AY28" s="1516"/>
      <c r="AZ28" s="1183"/>
      <c r="BA28" s="13"/>
      <c r="BB28" s="13"/>
      <c r="BC28" s="6"/>
      <c r="BG28" s="6"/>
      <c r="BJ28" s="6"/>
      <c r="BK28" s="6"/>
      <c r="BM28" s="6"/>
      <c r="BN28" s="6"/>
      <c r="BO28" s="6"/>
      <c r="BQ28" s="6"/>
    </row>
    <row r="29" spans="2:69" ht="12.75">
      <c r="B29" s="41" t="s">
        <v>26</v>
      </c>
      <c r="C29" s="47"/>
      <c r="D29" s="47"/>
      <c r="E29" s="47"/>
      <c r="F29" s="47"/>
      <c r="G29" s="47"/>
      <c r="H29" s="47"/>
      <c r="I29" s="47">
        <v>83.90154992122962</v>
      </c>
      <c r="J29" s="47">
        <v>84.74376393362898</v>
      </c>
      <c r="K29" s="47">
        <v>84.8043834832188</v>
      </c>
      <c r="L29" s="47">
        <v>85.04505129087289</v>
      </c>
      <c r="M29" s="47">
        <v>84.5977445786568</v>
      </c>
      <c r="N29" s="47">
        <v>84.62798747744681</v>
      </c>
      <c r="O29" s="47">
        <v>86.17613248333525</v>
      </c>
      <c r="P29" s="47">
        <v>84.36694354210717</v>
      </c>
      <c r="Q29" s="47">
        <v>85.2864809249062</v>
      </c>
      <c r="R29" s="47">
        <v>86.09128533407197</v>
      </c>
      <c r="S29" s="47">
        <v>86.88785141331175</v>
      </c>
      <c r="T29" s="47"/>
      <c r="U29" s="48"/>
      <c r="V29" s="44"/>
      <c r="W29" s="44"/>
      <c r="X29" s="45"/>
      <c r="Y29" s="5"/>
      <c r="Z29" s="5"/>
      <c r="AB29" s="1186"/>
      <c r="AC29" s="17"/>
      <c r="AD29" s="15"/>
      <c r="AM29" s="1">
        <v>4519.924999999999</v>
      </c>
      <c r="AN29" s="1183">
        <f>+AM29/AM21</f>
        <v>0.8390154992122961</v>
      </c>
      <c r="AO29" s="1">
        <v>4572.4929999999995</v>
      </c>
      <c r="AP29" s="1183">
        <f>+AO29/AO21</f>
        <v>0.8474376393362898</v>
      </c>
      <c r="AQ29" s="1">
        <v>4597.93</v>
      </c>
      <c r="AR29" s="1183">
        <f>+AQ29/AQ21</f>
        <v>0.8480438348321879</v>
      </c>
      <c r="AS29" s="1">
        <v>4607.706070000001</v>
      </c>
      <c r="AT29" s="1183">
        <f>+AS29/AS21</f>
        <v>0.8504505129087289</v>
      </c>
      <c r="AU29" s="1">
        <v>4746.715999999999</v>
      </c>
      <c r="AV29" s="1183">
        <f>+AU29/AU21</f>
        <v>0.8459774457865681</v>
      </c>
      <c r="AW29" s="1">
        <v>4905.57930598</v>
      </c>
      <c r="AX29" s="1183">
        <f>+AW29/AW21</f>
        <v>0.8462798747744681</v>
      </c>
      <c r="AY29" s="1516">
        <v>5473.92</v>
      </c>
      <c r="AZ29" s="1183">
        <f>+AY29/AY21</f>
        <v>0.8617613248333525</v>
      </c>
      <c r="BA29" s="13">
        <f>+AZ29*100</f>
        <v>86.17613248333525</v>
      </c>
      <c r="BB29" s="13"/>
      <c r="BC29" s="6"/>
      <c r="BD29" s="1183"/>
      <c r="BE29" s="13"/>
      <c r="BG29" s="6"/>
      <c r="BH29" s="1183"/>
      <c r="BI29" s="13"/>
      <c r="BJ29" s="6"/>
      <c r="BK29" s="6"/>
      <c r="BL29" s="1183"/>
      <c r="BM29" s="13"/>
      <c r="BN29" s="6"/>
      <c r="BO29" s="6"/>
      <c r="BP29" s="1183"/>
      <c r="BQ29" s="13"/>
    </row>
    <row r="30" spans="2:69" ht="12.75">
      <c r="B30" s="41" t="s">
        <v>6</v>
      </c>
      <c r="C30" s="47">
        <v>14.825558569841348</v>
      </c>
      <c r="D30" s="47">
        <v>12.585278630775724</v>
      </c>
      <c r="E30" s="47">
        <v>19.12284144641181</v>
      </c>
      <c r="F30" s="47">
        <v>19.84243451659068</v>
      </c>
      <c r="G30" s="47">
        <v>19.253283128974175</v>
      </c>
      <c r="H30" s="47">
        <v>17.346655514842354</v>
      </c>
      <c r="I30" s="47">
        <v>16.098450078770384</v>
      </c>
      <c r="J30" s="47">
        <v>15.25623606637102</v>
      </c>
      <c r="K30" s="47">
        <v>15.195616516781218</v>
      </c>
      <c r="L30" s="47">
        <v>14.954948709127109</v>
      </c>
      <c r="M30" s="47">
        <v>15.402255421343188</v>
      </c>
      <c r="N30" s="47">
        <v>15.372012522553193</v>
      </c>
      <c r="O30" s="47">
        <v>13.823867516664793</v>
      </c>
      <c r="P30" s="47">
        <v>15.633056457892838</v>
      </c>
      <c r="Q30" s="47">
        <v>14.713519075093867</v>
      </c>
      <c r="R30" s="47">
        <v>13.908714665928054</v>
      </c>
      <c r="S30" s="47">
        <v>13.112148586688258</v>
      </c>
      <c r="T30" s="47"/>
      <c r="U30" s="48"/>
      <c r="V30" s="44"/>
      <c r="W30" s="44"/>
      <c r="X30" s="45"/>
      <c r="Y30" s="5"/>
      <c r="Z30" s="5"/>
      <c r="AA30">
        <v>604.202</v>
      </c>
      <c r="AB30" s="1186">
        <f>+AA30/AA21</f>
        <v>0.1482555856984135</v>
      </c>
      <c r="AC30" s="17">
        <v>503.814</v>
      </c>
      <c r="AD30" s="1186">
        <f>+AC30/AC21</f>
        <v>0.12585278630775723</v>
      </c>
      <c r="AE30" s="1">
        <v>876.021</v>
      </c>
      <c r="AF30" s="1183">
        <f>+AE30/AE21</f>
        <v>0.19122841446411812</v>
      </c>
      <c r="AG30" s="1">
        <v>948.7919999999999</v>
      </c>
      <c r="AH30" s="1183">
        <f>+AG30/AG21</f>
        <v>0.1984243451659068</v>
      </c>
      <c r="AI30" s="1">
        <v>985.028</v>
      </c>
      <c r="AJ30" s="1183">
        <f>+AI30/AI21</f>
        <v>0.19253283128974175</v>
      </c>
      <c r="AK30" s="1">
        <v>963.58</v>
      </c>
      <c r="AL30" s="1183">
        <f>+AK30/AK21</f>
        <v>0.17346655514842355</v>
      </c>
      <c r="AM30" s="1">
        <v>867.2520000000001</v>
      </c>
      <c r="AN30" s="1183">
        <f>+AM30/AM21</f>
        <v>0.16098450078770385</v>
      </c>
      <c r="AO30" s="1">
        <v>823.1760000000006</v>
      </c>
      <c r="AP30" s="1183">
        <f>+AO30/AO21</f>
        <v>0.1525623606637102</v>
      </c>
      <c r="AQ30" s="1">
        <v>823.8770000000003</v>
      </c>
      <c r="AR30" s="1183">
        <f>+AQ30/AQ21</f>
        <v>0.15195616516781218</v>
      </c>
      <c r="AS30" s="1">
        <v>810.2530000000004</v>
      </c>
      <c r="AT30" s="1183">
        <f>+AS30/AS21</f>
        <v>0.14954948709127108</v>
      </c>
      <c r="AU30" s="1">
        <v>864.2090000000003</v>
      </c>
      <c r="AV30" s="1183">
        <f>+AU30/AU21</f>
        <v>0.1540225542134319</v>
      </c>
      <c r="AW30" s="1">
        <v>891.0601417999999</v>
      </c>
      <c r="AX30" s="1183">
        <f>+AW30/AW21</f>
        <v>0.15372012522553194</v>
      </c>
      <c r="AY30" s="1516">
        <v>878.0939999999994</v>
      </c>
      <c r="AZ30" s="1183">
        <f>+AY30/AY21</f>
        <v>0.13823867516664792</v>
      </c>
      <c r="BA30" s="13">
        <f>+AZ30*100</f>
        <v>13.823867516664793</v>
      </c>
      <c r="BB30" s="13"/>
      <c r="BC30" s="6"/>
      <c r="BD30" s="1183"/>
      <c r="BE30" s="13"/>
      <c r="BG30" s="6"/>
      <c r="BH30" s="1183"/>
      <c r="BI30" s="13"/>
      <c r="BJ30" s="6"/>
      <c r="BK30" s="6"/>
      <c r="BL30" s="1183"/>
      <c r="BM30" s="13"/>
      <c r="BN30" s="6"/>
      <c r="BO30" s="6"/>
      <c r="BP30" s="1183"/>
      <c r="BQ30" s="13"/>
    </row>
    <row r="31" spans="2:69" ht="12.75">
      <c r="B31" s="46" t="s">
        <v>21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4"/>
      <c r="W31" s="44"/>
      <c r="X31" s="45"/>
      <c r="Y31" s="5"/>
      <c r="Z31" s="5"/>
      <c r="AB31" s="1186"/>
      <c r="AC31" s="15"/>
      <c r="AD31" s="15"/>
      <c r="AY31" s="1516"/>
      <c r="AZ31" s="1183"/>
      <c r="BA31" s="13"/>
      <c r="BB31" s="13"/>
      <c r="BC31" s="6"/>
      <c r="BD31" s="1183"/>
      <c r="BE31" s="13"/>
      <c r="BG31" s="6"/>
      <c r="BH31" s="1183"/>
      <c r="BI31" s="13"/>
      <c r="BJ31" s="6"/>
      <c r="BK31" s="6"/>
      <c r="BL31" s="1183"/>
      <c r="BM31" s="13"/>
      <c r="BN31" s="6"/>
      <c r="BO31" s="6"/>
      <c r="BP31" s="1183"/>
      <c r="BQ31" s="13"/>
    </row>
    <row r="32" spans="2:69" ht="12.75">
      <c r="B32" s="41" t="s">
        <v>19</v>
      </c>
      <c r="C32" s="47">
        <v>78.40667731917883</v>
      </c>
      <c r="D32" s="47">
        <v>71.92996304707158</v>
      </c>
      <c r="E32" s="47">
        <v>83.53671966870252</v>
      </c>
      <c r="F32" s="47">
        <v>84.08952928404555</v>
      </c>
      <c r="G32" s="47">
        <v>84.39791515348631</v>
      </c>
      <c r="H32" s="47">
        <v>85.9778110860319</v>
      </c>
      <c r="I32" s="47">
        <v>86.16876705554691</v>
      </c>
      <c r="J32" s="47">
        <v>86.32529163668119</v>
      </c>
      <c r="K32" s="47">
        <v>86.436016626929</v>
      </c>
      <c r="L32" s="47">
        <v>85.96069128296311</v>
      </c>
      <c r="M32" s="47">
        <v>85.52356340532086</v>
      </c>
      <c r="N32" s="47">
        <v>86</v>
      </c>
      <c r="O32" s="47">
        <v>87.1039484484764</v>
      </c>
      <c r="P32" s="47">
        <v>85.74994518773515</v>
      </c>
      <c r="Q32" s="47">
        <v>86.08200517422885</v>
      </c>
      <c r="R32" s="47">
        <v>85.93381795155659</v>
      </c>
      <c r="S32" s="47">
        <v>86.8258594322622</v>
      </c>
      <c r="T32" s="47"/>
      <c r="U32" s="48"/>
      <c r="V32" s="44"/>
      <c r="W32" s="44"/>
      <c r="X32" s="45"/>
      <c r="Y32" s="5"/>
      <c r="Z32" s="5"/>
      <c r="AA32">
        <v>3195.392</v>
      </c>
      <c r="AB32" s="1183">
        <f>+AA32/AA21</f>
        <v>0.7840667731917883</v>
      </c>
      <c r="AC32">
        <v>2879.501</v>
      </c>
      <c r="AD32" s="1183">
        <f>+AC32/AC21</f>
        <v>0.7192996304707159</v>
      </c>
      <c r="AE32">
        <v>3826.8329999999996</v>
      </c>
      <c r="AF32" s="1183">
        <f>+AE32/AE21</f>
        <v>0.8353671966870252</v>
      </c>
      <c r="AG32">
        <v>4020.8509999999997</v>
      </c>
      <c r="AH32" s="1183">
        <f>+AG32/AG21</f>
        <v>0.8408952928404555</v>
      </c>
      <c r="AI32">
        <v>4317.928999999999</v>
      </c>
      <c r="AJ32" s="1183">
        <f>+AI32/AI21</f>
        <v>0.8439791515348631</v>
      </c>
      <c r="AK32">
        <v>4775.935</v>
      </c>
      <c r="AL32" s="1183">
        <f>+AK32/AK21</f>
        <v>0.8597781108603191</v>
      </c>
      <c r="AM32">
        <v>4642.063999999999</v>
      </c>
      <c r="AN32" s="1183">
        <f>+AM32/AM21</f>
        <v>0.861687670555469</v>
      </c>
      <c r="AO32">
        <v>4657.826999999999</v>
      </c>
      <c r="AP32" s="1183">
        <f>+AO32/AO21</f>
        <v>0.8632529163668119</v>
      </c>
      <c r="AQ32">
        <v>4686.394</v>
      </c>
      <c r="AR32" s="1183">
        <f>+AQ32/AQ21</f>
        <v>0.86436016626929</v>
      </c>
      <c r="AS32" s="1">
        <v>4657.315070000001</v>
      </c>
      <c r="AT32" s="1183">
        <f>+AS32/AS21</f>
        <v>0.8596069128296311</v>
      </c>
      <c r="AU32" s="1">
        <v>4798.663</v>
      </c>
      <c r="AV32" s="1183">
        <f>+AU32/AU21</f>
        <v>0.8552356340532086</v>
      </c>
      <c r="AW32" s="1">
        <v>4955.09862198</v>
      </c>
      <c r="AX32" s="1183">
        <f>+AW32/AW21</f>
        <v>0.8548226376021553</v>
      </c>
      <c r="AY32" s="1516">
        <v>5532.8550000000005</v>
      </c>
      <c r="AZ32" s="1183">
        <f>+AY32/AY21</f>
        <v>0.871039484484764</v>
      </c>
      <c r="BA32" s="13">
        <f>+AZ32*100</f>
        <v>87.1039484484764</v>
      </c>
      <c r="BB32" s="13"/>
      <c r="BC32" s="6"/>
      <c r="BD32" s="1183"/>
      <c r="BE32" s="13"/>
      <c r="BG32" s="6"/>
      <c r="BH32" s="1183"/>
      <c r="BI32" s="13"/>
      <c r="BJ32" s="6"/>
      <c r="BK32" s="6"/>
      <c r="BL32" s="1183"/>
      <c r="BM32" s="13"/>
      <c r="BN32" s="6"/>
      <c r="BO32" s="6"/>
      <c r="BP32" s="1183"/>
      <c r="BQ32" s="13"/>
    </row>
    <row r="33" spans="2:69" ht="12.75">
      <c r="B33" s="41" t="s">
        <v>20</v>
      </c>
      <c r="C33" s="47">
        <v>21.593322680821156</v>
      </c>
      <c r="D33" s="47">
        <v>28.07003695292842</v>
      </c>
      <c r="E33" s="47">
        <v>16.463280331297465</v>
      </c>
      <c r="F33" s="47">
        <v>15.911516384263031</v>
      </c>
      <c r="G33" s="47">
        <v>15.602084846513673</v>
      </c>
      <c r="H33" s="47">
        <v>14.022188913968092</v>
      </c>
      <c r="I33" s="47">
        <v>13.831232944453099</v>
      </c>
      <c r="J33" s="47">
        <v>13.674708363318814</v>
      </c>
      <c r="K33" s="47">
        <v>13.563983373071014</v>
      </c>
      <c r="L33" s="47">
        <v>14.039308717036878</v>
      </c>
      <c r="M33" s="47">
        <v>14.476436594679134</v>
      </c>
      <c r="N33" s="47">
        <v>14</v>
      </c>
      <c r="O33" s="47">
        <v>12.896051551523657</v>
      </c>
      <c r="P33" s="47">
        <v>14.250054812264842</v>
      </c>
      <c r="Q33" s="47">
        <v>13.917994825771164</v>
      </c>
      <c r="R33" s="47">
        <v>14.066182048443412</v>
      </c>
      <c r="S33" s="47">
        <v>13.174140567737835</v>
      </c>
      <c r="T33" s="47"/>
      <c r="U33" s="48"/>
      <c r="V33" s="44"/>
      <c r="W33" s="44"/>
      <c r="X33" s="45"/>
      <c r="Y33" s="5"/>
      <c r="Z33" s="5"/>
      <c r="AA33">
        <v>880.016</v>
      </c>
      <c r="AB33" s="1183">
        <f>+AA33/AA21</f>
        <v>0.21593322680821156</v>
      </c>
      <c r="AC33">
        <v>1123.7</v>
      </c>
      <c r="AD33" s="1183">
        <f>+AC33/AC21</f>
        <v>0.2807003695292842</v>
      </c>
      <c r="AE33">
        <v>754.1859999999999</v>
      </c>
      <c r="AF33" s="1183">
        <f>+AE33/AE21</f>
        <v>0.16463280331297467</v>
      </c>
      <c r="AG33">
        <v>760.83</v>
      </c>
      <c r="AH33" s="1183">
        <f>+AG33/AG21</f>
        <v>0.1591151638426303</v>
      </c>
      <c r="AI33">
        <v>798.227</v>
      </c>
      <c r="AJ33" s="1183">
        <f>+AI33/AI21</f>
        <v>0.15602084846513672</v>
      </c>
      <c r="AK33">
        <v>778.9110000000001</v>
      </c>
      <c r="AL33" s="1183">
        <f>+AK33/AK21</f>
        <v>0.14022188913968092</v>
      </c>
      <c r="AM33">
        <v>745.113</v>
      </c>
      <c r="AN33" s="1183">
        <f>+AM33/AM21</f>
        <v>0.13831232944453098</v>
      </c>
      <c r="AO33">
        <v>737.8420000000006</v>
      </c>
      <c r="AP33" s="1183">
        <f>+AO33/AO21</f>
        <v>0.13674708363318813</v>
      </c>
      <c r="AQ33">
        <v>735.4130000000004</v>
      </c>
      <c r="AR33" s="1183">
        <f>+AQ33/AQ21</f>
        <v>0.13563983373071015</v>
      </c>
      <c r="AS33" s="1">
        <v>760.6440000000003</v>
      </c>
      <c r="AT33" s="1183">
        <f>+AS33/AS21</f>
        <v>0.14039308717036877</v>
      </c>
      <c r="AU33" s="1">
        <v>812.2620000000003</v>
      </c>
      <c r="AV33" s="1183">
        <f>+AU33/AU21</f>
        <v>0.14476436594679135</v>
      </c>
      <c r="AW33" s="1">
        <v>841.5408258</v>
      </c>
      <c r="AX33" s="1183">
        <f>+AW33/AW21</f>
        <v>0.14517736239784482</v>
      </c>
      <c r="AY33" s="1516">
        <v>819.1589999999994</v>
      </c>
      <c r="AZ33" s="1183">
        <f>+AY33/AY21</f>
        <v>0.12896051551523657</v>
      </c>
      <c r="BA33" s="13">
        <f>+AZ33*100</f>
        <v>12.896051551523657</v>
      </c>
      <c r="BB33" s="13"/>
      <c r="BC33" s="6"/>
      <c r="BD33" s="1183"/>
      <c r="BE33" s="13"/>
      <c r="BG33" s="6"/>
      <c r="BH33" s="1183"/>
      <c r="BI33" s="13"/>
      <c r="BJ33" s="6"/>
      <c r="BK33" s="6"/>
      <c r="BL33" s="1183"/>
      <c r="BM33" s="13"/>
      <c r="BN33" s="6"/>
      <c r="BO33" s="6"/>
      <c r="BP33" s="1183"/>
      <c r="BQ33" s="13"/>
    </row>
    <row r="34" spans="2:69" ht="12.7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4"/>
      <c r="W34" s="44"/>
      <c r="X34" s="45"/>
      <c r="Y34" s="5"/>
      <c r="Z34" s="5"/>
      <c r="AB34" s="1183"/>
      <c r="AY34" s="1516"/>
      <c r="AZ34" s="1183"/>
      <c r="BA34" s="13"/>
      <c r="BB34" s="13"/>
      <c r="BC34" s="6"/>
      <c r="BG34" s="6"/>
      <c r="BJ34" s="6"/>
      <c r="BK34" s="6"/>
      <c r="BL34" s="6"/>
      <c r="BM34" s="6"/>
      <c r="BN34" s="6"/>
      <c r="BO34" s="6"/>
      <c r="BP34" s="6"/>
      <c r="BQ34" s="6"/>
    </row>
    <row r="35" spans="2:69" ht="12.75">
      <c r="B35" s="80" t="s">
        <v>30</v>
      </c>
      <c r="C35" s="66">
        <v>2052.1</v>
      </c>
      <c r="D35" s="66">
        <v>2024.93</v>
      </c>
      <c r="E35" s="66">
        <v>2400.9</v>
      </c>
      <c r="F35" s="66">
        <v>2520.6</v>
      </c>
      <c r="G35" s="66">
        <v>2580.3</v>
      </c>
      <c r="H35" s="66">
        <v>2620.7</v>
      </c>
      <c r="I35" s="66">
        <v>2792.22</v>
      </c>
      <c r="J35" s="66">
        <v>2908.2</v>
      </c>
      <c r="K35" s="66">
        <v>2964.7549</v>
      </c>
      <c r="L35" s="66">
        <v>3130.8466199999993</v>
      </c>
      <c r="M35" s="66">
        <v>3305.01405</v>
      </c>
      <c r="N35" s="66">
        <v>3580</v>
      </c>
      <c r="O35" s="66">
        <v>3965.6038100000005</v>
      </c>
      <c r="P35" s="66">
        <v>4198.65897</v>
      </c>
      <c r="Q35" s="66">
        <v>4322.374830000001</v>
      </c>
      <c r="R35" s="66">
        <v>4578.943119999999</v>
      </c>
      <c r="S35" s="66">
        <v>4961.19299</v>
      </c>
      <c r="T35" s="841"/>
      <c r="U35" s="57">
        <f>((S35/R35)-1)*100</f>
        <v>8.347993412069311</v>
      </c>
      <c r="V35" s="1517">
        <f>((S35/N35)^(1/5))-1</f>
        <v>0.06743298508932027</v>
      </c>
      <c r="W35" s="58">
        <f>((S35/H35)-1)*100</f>
        <v>89.30793261342389</v>
      </c>
      <c r="X35" s="1518">
        <f>((S35/H35)^(1/11))-1</f>
        <v>0.05973472358034981</v>
      </c>
      <c r="Y35" s="5"/>
      <c r="Z35" s="5"/>
      <c r="AB35" s="1183"/>
      <c r="AY35" s="1516"/>
      <c r="AZ35" s="1183"/>
      <c r="BA35" s="13"/>
      <c r="BB35" s="13"/>
      <c r="BC35" s="6"/>
      <c r="BG35" s="6"/>
      <c r="BJ35" s="6"/>
      <c r="BK35" s="6"/>
      <c r="BL35" s="6"/>
      <c r="BM35" s="6"/>
      <c r="BN35" s="6"/>
      <c r="BO35" s="6"/>
      <c r="BP35" s="6"/>
      <c r="BQ35" s="6"/>
    </row>
    <row r="36" spans="2:69" ht="12.7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4"/>
      <c r="W36" s="44"/>
      <c r="X36" s="45"/>
      <c r="Y36" s="5"/>
      <c r="Z36" s="5"/>
      <c r="AB36" s="1183"/>
      <c r="AY36" s="1516"/>
      <c r="AZ36" s="1183"/>
      <c r="BA36" s="13"/>
      <c r="BB36" s="13"/>
      <c r="BC36" s="6"/>
      <c r="BG36" s="6"/>
      <c r="BJ36" s="6"/>
      <c r="BK36" s="6"/>
      <c r="BL36" s="6"/>
      <c r="BM36" s="6"/>
      <c r="BN36" s="6"/>
      <c r="BO36" s="6"/>
      <c r="BP36" s="6"/>
      <c r="BQ36" s="6"/>
    </row>
    <row r="37" spans="2:69" ht="15">
      <c r="B37" s="80" t="s">
        <v>7</v>
      </c>
      <c r="C37" s="66">
        <v>16880.114601</v>
      </c>
      <c r="D37" s="66">
        <v>17279.812293</v>
      </c>
      <c r="E37" s="66">
        <v>17953.407575</v>
      </c>
      <c r="F37" s="66">
        <v>18582.538846000003</v>
      </c>
      <c r="G37" s="66">
        <v>19049.617396999998</v>
      </c>
      <c r="H37" s="66">
        <v>19922.697338</v>
      </c>
      <c r="I37" s="66">
        <v>20785.725534999998</v>
      </c>
      <c r="J37" s="66">
        <v>21982.323172000008</v>
      </c>
      <c r="K37" s="66">
        <v>22923.353873999997</v>
      </c>
      <c r="L37" s="66">
        <v>24267.012071000005</v>
      </c>
      <c r="M37" s="66">
        <v>25509.736815000004</v>
      </c>
      <c r="N37" s="66">
        <v>27369.828727579996</v>
      </c>
      <c r="O37" s="66">
        <v>29943.047141999996</v>
      </c>
      <c r="P37" s="66">
        <v>32463.106282999997</v>
      </c>
      <c r="Q37" s="66">
        <v>32944.73582100001</v>
      </c>
      <c r="R37" s="66">
        <v>35908.007942</v>
      </c>
      <c r="S37" s="66">
        <v>38697.48515246</v>
      </c>
      <c r="T37" s="841"/>
      <c r="U37" s="57">
        <f>((S37/R37)-1)*100</f>
        <v>7.768398667410548</v>
      </c>
      <c r="V37" s="1517">
        <f>((S37/N37)^(1/5))-1</f>
        <v>0.07172196701784905</v>
      </c>
      <c r="W37" s="58">
        <f>((S37/H37)-1)*100</f>
        <v>94.2381821895647</v>
      </c>
      <c r="X37" s="1518">
        <f>((S37/H37)^(1/11))-1</f>
        <v>0.06221452753761425</v>
      </c>
      <c r="Y37" s="5"/>
      <c r="Z37" s="5"/>
      <c r="AA37" s="3">
        <v>16880.1</v>
      </c>
      <c r="AC37" s="3">
        <v>17279.808</v>
      </c>
      <c r="AE37" s="3">
        <v>17953.41</v>
      </c>
      <c r="AG37" s="3">
        <v>18582.5</v>
      </c>
      <c r="AI37" s="3">
        <v>19049.6</v>
      </c>
      <c r="AK37" s="3">
        <v>19922.514233000005</v>
      </c>
      <c r="AM37" s="3">
        <v>20785.5</v>
      </c>
      <c r="AO37" s="3">
        <v>21982.296772000005</v>
      </c>
      <c r="AQ37" s="3">
        <v>22923.327473999998</v>
      </c>
      <c r="AS37" s="3">
        <v>24267.01207100001</v>
      </c>
      <c r="AU37" s="3">
        <v>25509.736815000004</v>
      </c>
      <c r="AW37" s="3">
        <v>26713.006349770003</v>
      </c>
      <c r="AY37" s="1519">
        <v>29943.047141999996</v>
      </c>
      <c r="AZ37" s="1183"/>
      <c r="BA37" s="13"/>
      <c r="BB37" s="13"/>
      <c r="BC37" s="33"/>
      <c r="BD37" s="791"/>
      <c r="BE37" s="33"/>
      <c r="BF37" s="791"/>
      <c r="BG37" s="33"/>
      <c r="BH37" s="791"/>
      <c r="BI37" s="33"/>
      <c r="BJ37" s="78"/>
      <c r="BK37" s="33"/>
      <c r="BL37" s="86"/>
      <c r="BM37" s="78"/>
      <c r="BN37" s="78"/>
      <c r="BO37" s="33"/>
      <c r="BP37" s="86"/>
      <c r="BQ37" s="78"/>
    </row>
    <row r="38" spans="2:69" ht="12.7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1520"/>
      <c r="W38" s="1520"/>
      <c r="X38" s="1521"/>
      <c r="Y38" s="5"/>
      <c r="Z38" s="5"/>
      <c r="AY38" s="1516"/>
      <c r="AZ38" s="1183"/>
      <c r="BA38" s="13"/>
      <c r="BB38" s="13"/>
      <c r="BC38" s="6"/>
      <c r="BG38" s="6"/>
      <c r="BJ38" s="6"/>
      <c r="BK38" s="6"/>
      <c r="BL38" s="85"/>
      <c r="BM38" s="6"/>
      <c r="BN38" s="6"/>
      <c r="BO38" s="6"/>
      <c r="BP38" s="85"/>
      <c r="BQ38" s="6"/>
    </row>
    <row r="39" spans="2:69" ht="12.75">
      <c r="B39" s="46" t="s">
        <v>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4"/>
      <c r="W39" s="44"/>
      <c r="X39" s="45"/>
      <c r="Y39" s="5"/>
      <c r="Z39" s="5"/>
      <c r="AY39" s="1516"/>
      <c r="AZ39" s="1183"/>
      <c r="BA39" s="13"/>
      <c r="BB39" s="13"/>
      <c r="BC39" s="6"/>
      <c r="BG39" s="6"/>
      <c r="BJ39" s="6"/>
      <c r="BK39" s="6"/>
      <c r="BL39" s="85"/>
      <c r="BM39" s="6"/>
      <c r="BN39" s="6"/>
      <c r="BO39" s="6"/>
      <c r="BP39" s="85"/>
      <c r="BQ39" s="6"/>
    </row>
    <row r="40" spans="2:69" ht="12.75">
      <c r="B40" s="41" t="s">
        <v>1</v>
      </c>
      <c r="C40" s="47">
        <v>76.64409571033349</v>
      </c>
      <c r="D40" s="47">
        <v>77.10502338914877</v>
      </c>
      <c r="E40" s="47">
        <v>73.60456871424427</v>
      </c>
      <c r="F40" s="47">
        <v>74.31292883088928</v>
      </c>
      <c r="G40" s="47">
        <v>76.3323114396103</v>
      </c>
      <c r="H40" s="47">
        <v>81.19390992431069</v>
      </c>
      <c r="I40" s="47">
        <v>84.74513482956868</v>
      </c>
      <c r="J40" s="47">
        <v>82.06661979915879</v>
      </c>
      <c r="K40" s="47">
        <v>80.85091870724804</v>
      </c>
      <c r="L40" s="47">
        <v>72.21877547068699</v>
      </c>
      <c r="M40" s="47">
        <v>70.4711046859148</v>
      </c>
      <c r="N40" s="47">
        <v>71</v>
      </c>
      <c r="O40" s="47">
        <v>65.28654858436117</v>
      </c>
      <c r="P40" s="47">
        <v>58.71162661652307</v>
      </c>
      <c r="Q40" s="47">
        <v>60.41565035501883</v>
      </c>
      <c r="R40" s="47">
        <v>55.84305682840712</v>
      </c>
      <c r="S40" s="47">
        <v>55.670320039813014</v>
      </c>
      <c r="T40" s="47"/>
      <c r="U40" s="48"/>
      <c r="V40" s="44"/>
      <c r="W40" s="44"/>
      <c r="X40" s="45"/>
      <c r="Y40" s="5"/>
      <c r="Z40" s="5"/>
      <c r="AA40">
        <v>12937.6</v>
      </c>
      <c r="AB40" s="1183">
        <f>+AA40/AA37</f>
        <v>0.7664409571033348</v>
      </c>
      <c r="AC40" s="1">
        <v>13323.6</v>
      </c>
      <c r="AD40" s="1183">
        <f>+AC40/AC37</f>
        <v>0.7710502338914876</v>
      </c>
      <c r="AE40" s="1">
        <v>13214.53</v>
      </c>
      <c r="AF40" s="1183">
        <f>+AE40/AE37</f>
        <v>0.7360456871424427</v>
      </c>
      <c r="AG40" s="1">
        <v>13809.2</v>
      </c>
      <c r="AH40" s="1183">
        <f>+AG40/AG37</f>
        <v>0.7431292883088928</v>
      </c>
      <c r="AI40" s="1">
        <v>14541</v>
      </c>
      <c r="AJ40" s="1183">
        <f>+AI40/AI37</f>
        <v>0.7633231143961029</v>
      </c>
      <c r="AK40" s="1">
        <v>16175.868261000001</v>
      </c>
      <c r="AL40" s="1183">
        <f>+AK40/AK37</f>
        <v>0.8119390992431069</v>
      </c>
      <c r="AM40" s="1">
        <v>17614.7</v>
      </c>
      <c r="AN40" s="1183">
        <f>+AM40/AM37</f>
        <v>0.8474513482956869</v>
      </c>
      <c r="AO40" s="1">
        <v>18040.127915</v>
      </c>
      <c r="AP40" s="1183">
        <f>+AO40/AO37</f>
        <v>0.8206661979915879</v>
      </c>
      <c r="AQ40" s="1">
        <v>18533.720860999994</v>
      </c>
      <c r="AR40" s="1183">
        <f>+AQ40/AQ37</f>
        <v>0.8085091870724804</v>
      </c>
      <c r="AS40" s="1">
        <v>17525.338961000005</v>
      </c>
      <c r="AT40" s="1183">
        <f>+AS40/AS37</f>
        <v>0.7221877547068699</v>
      </c>
      <c r="AU40" s="1">
        <v>17976.993336</v>
      </c>
      <c r="AV40" s="1183">
        <f>+AU40/AU37</f>
        <v>0.704711046859148</v>
      </c>
      <c r="AW40" s="1">
        <v>18419.197389629997</v>
      </c>
      <c r="AX40" s="1183">
        <f>+AW40/AW37</f>
        <v>0.6895216939814258</v>
      </c>
      <c r="AY40" s="1516">
        <v>19548.782019999995</v>
      </c>
      <c r="AZ40" s="1183">
        <f>+AY40/AY37</f>
        <v>0.6528654858436117</v>
      </c>
      <c r="BA40" s="13">
        <f>+AZ40*100</f>
        <v>65.28654858436117</v>
      </c>
      <c r="BB40" s="13"/>
      <c r="BC40" s="6"/>
      <c r="BD40" s="1183"/>
      <c r="BE40" s="13"/>
      <c r="BG40" s="6"/>
      <c r="BH40" s="1183"/>
      <c r="BI40" s="13"/>
      <c r="BJ40" s="6"/>
      <c r="BK40" s="6"/>
      <c r="BL40" s="1183"/>
      <c r="BM40" s="13"/>
      <c r="BN40" s="6"/>
      <c r="BO40" s="6"/>
      <c r="BP40" s="1183"/>
      <c r="BQ40" s="13"/>
    </row>
    <row r="41" spans="2:69" ht="12.75">
      <c r="B41" s="41" t="s">
        <v>2</v>
      </c>
      <c r="C41" s="47">
        <v>23.355904289666533</v>
      </c>
      <c r="D41" s="47">
        <v>22.892615473505263</v>
      </c>
      <c r="E41" s="47">
        <v>26.392312101155156</v>
      </c>
      <c r="F41" s="47">
        <v>25.684380465491728</v>
      </c>
      <c r="G41" s="47">
        <v>23.664538887955654</v>
      </c>
      <c r="H41" s="47">
        <v>18.801845129543892</v>
      </c>
      <c r="I41" s="47">
        <v>15.249091915036924</v>
      </c>
      <c r="J41" s="47">
        <v>17.927921262621748</v>
      </c>
      <c r="K41" s="47">
        <v>19.143846450640307</v>
      </c>
      <c r="L41" s="47">
        <v>27.776170755093037</v>
      </c>
      <c r="M41" s="47">
        <v>29.52408773802554</v>
      </c>
      <c r="N41" s="47">
        <v>29</v>
      </c>
      <c r="O41" s="47">
        <v>34.70935564010141</v>
      </c>
      <c r="P41" s="47">
        <v>41.28459555645907</v>
      </c>
      <c r="Q41" s="47">
        <v>39.58062704721421</v>
      </c>
      <c r="R41" s="47">
        <v>44.15352777745022</v>
      </c>
      <c r="S41" s="47">
        <v>44.326510761994506</v>
      </c>
      <c r="T41" s="47"/>
      <c r="U41" s="48"/>
      <c r="V41" s="44"/>
      <c r="W41" s="44"/>
      <c r="X41" s="45"/>
      <c r="Y41" s="5"/>
      <c r="Z41" s="5"/>
      <c r="AA41">
        <v>3942.5</v>
      </c>
      <c r="AB41" s="1183">
        <f>+AA41/AA37</f>
        <v>0.23355904289666532</v>
      </c>
      <c r="AC41" s="1">
        <v>3955.8</v>
      </c>
      <c r="AD41" s="1183">
        <f>+AC41/AC37</f>
        <v>0.22892615473505262</v>
      </c>
      <c r="AE41" s="1">
        <v>4738.32</v>
      </c>
      <c r="AF41" s="1183">
        <f>+AE41/AE37</f>
        <v>0.2639231210115516</v>
      </c>
      <c r="AG41" s="1">
        <v>4772.8</v>
      </c>
      <c r="AH41" s="1183">
        <f>+AG41/AG37</f>
        <v>0.2568438046549173</v>
      </c>
      <c r="AI41" s="1">
        <v>4508</v>
      </c>
      <c r="AJ41" s="1183">
        <f>+AI41/AI37</f>
        <v>0.23664538887955655</v>
      </c>
      <c r="AK41" s="1">
        <v>3745.8002720000004</v>
      </c>
      <c r="AL41" s="1183">
        <f>+AK41/AK37</f>
        <v>0.18801845129543893</v>
      </c>
      <c r="AM41" s="1">
        <v>3169.6</v>
      </c>
      <c r="AN41" s="1183">
        <f>+AM41/AM37</f>
        <v>0.15249091915036925</v>
      </c>
      <c r="AO41" s="1">
        <v>3940.9688570000035</v>
      </c>
      <c r="AP41" s="1183">
        <f>+AO41/AO37</f>
        <v>0.1792792126262175</v>
      </c>
      <c r="AQ41" s="1">
        <v>4388.406613000003</v>
      </c>
      <c r="AR41" s="1183">
        <f>+AQ41/AQ37</f>
        <v>0.19143846450640306</v>
      </c>
      <c r="AS41" s="1">
        <v>6740.446710000001</v>
      </c>
      <c r="AT41" s="1183">
        <f>+AS41/AS37</f>
        <v>0.2777617075509304</v>
      </c>
      <c r="AU41" s="1">
        <v>7531.517079000003</v>
      </c>
      <c r="AV41" s="1183">
        <f>+AU41/AU37</f>
        <v>0.2952408773802554</v>
      </c>
      <c r="AW41" s="1">
        <v>8292.582560140005</v>
      </c>
      <c r="AX41" s="1183">
        <f>+AW41/AW37</f>
        <v>0.31043239579851345</v>
      </c>
      <c r="AY41" s="1516">
        <v>10393.038722</v>
      </c>
      <c r="AZ41" s="1183">
        <f>+AY41/AY37</f>
        <v>0.3470935564010141</v>
      </c>
      <c r="BA41" s="13">
        <f>+AZ41*100</f>
        <v>34.70935564010141</v>
      </c>
      <c r="BB41" s="13"/>
      <c r="BC41" s="6"/>
      <c r="BD41" s="1183"/>
      <c r="BE41" s="13"/>
      <c r="BG41" s="6"/>
      <c r="BH41" s="1183"/>
      <c r="BI41" s="13"/>
      <c r="BJ41" s="6"/>
      <c r="BK41" s="6"/>
      <c r="BL41" s="1183"/>
      <c r="BM41" s="13"/>
      <c r="BN41" s="6"/>
      <c r="BO41" s="6"/>
      <c r="BP41" s="1183"/>
      <c r="BQ41" s="13"/>
    </row>
    <row r="42" spans="2:69" ht="12.75">
      <c r="B42" s="46" t="s">
        <v>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4"/>
      <c r="W42" s="44"/>
      <c r="X42" s="45"/>
      <c r="Y42" s="5"/>
      <c r="Z42" s="5"/>
      <c r="AS42" s="1"/>
      <c r="AY42" s="1516"/>
      <c r="AZ42" s="1183"/>
      <c r="BA42" s="13"/>
      <c r="BB42" s="13"/>
      <c r="BC42" s="6"/>
      <c r="BG42" s="6"/>
      <c r="BJ42" s="6"/>
      <c r="BK42" s="6"/>
      <c r="BM42" s="6"/>
      <c r="BN42" s="6"/>
      <c r="BO42" s="6"/>
      <c r="BQ42" s="6"/>
    </row>
    <row r="43" spans="2:69" ht="12.75">
      <c r="B43" s="41" t="s">
        <v>4</v>
      </c>
      <c r="C43" s="47">
        <v>73.16539822038969</v>
      </c>
      <c r="D43" s="47">
        <v>72.5961263921451</v>
      </c>
      <c r="E43" s="47">
        <v>73.08956125883606</v>
      </c>
      <c r="F43" s="47">
        <v>73.85497281313064</v>
      </c>
      <c r="G43" s="47">
        <v>73.5784064442298</v>
      </c>
      <c r="H43" s="47">
        <v>74.05956125035836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4"/>
      <c r="W43" s="44"/>
      <c r="X43" s="45"/>
      <c r="Y43" s="5"/>
      <c r="Z43" s="5"/>
      <c r="AA43" s="1">
        <v>12350.392385</v>
      </c>
      <c r="AB43" s="1183">
        <f>+AA43/AA37</f>
        <v>0.7316539822038969</v>
      </c>
      <c r="AC43" s="1">
        <v>12544.471256</v>
      </c>
      <c r="AD43" s="1522">
        <f>+AC43/AC37</f>
        <v>0.725961263921451</v>
      </c>
      <c r="AE43" s="1">
        <v>13122.068599999999</v>
      </c>
      <c r="AF43" s="1183">
        <f>+AE43/AE37</f>
        <v>0.7308956125883606</v>
      </c>
      <c r="AG43" s="1">
        <v>13724.100323000002</v>
      </c>
      <c r="AH43" s="1183">
        <f>+AG43/AG37</f>
        <v>0.7385497281313065</v>
      </c>
      <c r="AI43" s="1">
        <v>14016.392114</v>
      </c>
      <c r="AJ43" s="1183">
        <f>+AI43/AI37</f>
        <v>0.735784064442298</v>
      </c>
      <c r="AK43" s="1">
        <v>14754.526630999999</v>
      </c>
      <c r="AL43" s="1183">
        <f>+AK43/AK37</f>
        <v>0.7405956125035835</v>
      </c>
      <c r="AM43" s="1"/>
      <c r="AN43" s="1183"/>
      <c r="AO43" s="1"/>
      <c r="AP43" s="1"/>
      <c r="AQ43" s="1"/>
      <c r="AR43" s="1"/>
      <c r="AS43" s="1"/>
      <c r="AT43" s="1"/>
      <c r="AY43" s="1516"/>
      <c r="AZ43" s="1183"/>
      <c r="BA43" s="13"/>
      <c r="BB43" s="13"/>
      <c r="BC43" s="6"/>
      <c r="BG43" s="6"/>
      <c r="BJ43" s="6"/>
      <c r="BK43" s="6"/>
      <c r="BM43" s="6"/>
      <c r="BN43" s="6"/>
      <c r="BO43" s="6"/>
      <c r="BQ43" s="6"/>
    </row>
    <row r="44" spans="2:69" ht="12.75">
      <c r="B44" s="41" t="s">
        <v>5</v>
      </c>
      <c r="C44" s="47">
        <v>13.176215265312411</v>
      </c>
      <c r="D44" s="47">
        <f>14.5327457862958-0.05</f>
        <v>14.4827457862958</v>
      </c>
      <c r="E44" s="47">
        <f>15.1620682811789</f>
        <v>15.1620682811789</v>
      </c>
      <c r="F44" s="47">
        <f>14.5466937118256-0.05</f>
        <v>14.4966937118256</v>
      </c>
      <c r="G44" s="47">
        <v>15.41317457059466</v>
      </c>
      <c r="H44" s="47">
        <v>15.642660989233583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44"/>
      <c r="W44" s="44"/>
      <c r="X44" s="45"/>
      <c r="Y44" s="5"/>
      <c r="Z44" s="5"/>
      <c r="AA44" s="1">
        <v>2224.158313</v>
      </c>
      <c r="AB44" s="1183">
        <f>+AA44/AA37</f>
        <v>0.1317621526531241</v>
      </c>
      <c r="AC44" s="1">
        <v>2511.230569</v>
      </c>
      <c r="AD44" s="1523">
        <f>+AC44/AC37</f>
        <v>0.14532745786295773</v>
      </c>
      <c r="AE44" s="1">
        <v>2722.108283</v>
      </c>
      <c r="AF44" s="1183">
        <f>+AE44/AE37</f>
        <v>0.15162068281178895</v>
      </c>
      <c r="AG44" s="1">
        <v>2703.139359</v>
      </c>
      <c r="AH44" s="1523">
        <f>+AG44/AG37</f>
        <v>0.14546693711825642</v>
      </c>
      <c r="AI44" s="1">
        <v>2936.148103</v>
      </c>
      <c r="AJ44" s="1183">
        <f>+AI44/AI37</f>
        <v>0.1541317457059466</v>
      </c>
      <c r="AK44" s="1">
        <v>3116.4113620000003</v>
      </c>
      <c r="AL44" s="1183">
        <f>+AK44/AK37</f>
        <v>0.15642660989233584</v>
      </c>
      <c r="AM44" s="1"/>
      <c r="AN44" s="1183"/>
      <c r="AO44" s="1"/>
      <c r="AP44" s="1"/>
      <c r="AQ44" s="1"/>
      <c r="AR44" s="1"/>
      <c r="AS44" s="1"/>
      <c r="AT44" s="1"/>
      <c r="AY44" s="1516"/>
      <c r="AZ44" s="1183"/>
      <c r="BA44" s="13"/>
      <c r="BB44" s="13"/>
      <c r="BC44" s="6"/>
      <c r="BG44" s="6"/>
      <c r="BJ44" s="6"/>
      <c r="BK44" s="6"/>
      <c r="BM44" s="6"/>
      <c r="BN44" s="6"/>
      <c r="BO44" s="6"/>
      <c r="BQ44" s="6"/>
    </row>
    <row r="45" spans="2:69" ht="12.75">
      <c r="B45" s="41" t="s">
        <v>26</v>
      </c>
      <c r="C45" s="47"/>
      <c r="D45" s="47"/>
      <c r="E45" s="47"/>
      <c r="F45" s="47"/>
      <c r="G45" s="47"/>
      <c r="H45" s="47"/>
      <c r="I45" s="47">
        <v>90.2291626085492</v>
      </c>
      <c r="J45" s="47">
        <v>91.06364887447894</v>
      </c>
      <c r="K45" s="47">
        <v>91.60443031587431</v>
      </c>
      <c r="L45" s="47">
        <v>91.84477800888799</v>
      </c>
      <c r="M45" s="47">
        <v>91.86143287931054</v>
      </c>
      <c r="N45" s="47">
        <v>92.03965036365773</v>
      </c>
      <c r="O45" s="47">
        <v>92.86367032431131</v>
      </c>
      <c r="P45" s="47">
        <v>92.73171575008641</v>
      </c>
      <c r="Q45" s="47">
        <v>92.55823711162611</v>
      </c>
      <c r="R45" s="47">
        <v>92.81073606152206</v>
      </c>
      <c r="S45" s="47">
        <v>93.19707234972674</v>
      </c>
      <c r="T45" s="47"/>
      <c r="U45" s="48"/>
      <c r="V45" s="44"/>
      <c r="W45" s="44"/>
      <c r="X45" s="45"/>
      <c r="Y45" s="5"/>
      <c r="Z45" s="5"/>
      <c r="AA45" s="1">
        <v>2305.563903</v>
      </c>
      <c r="AB45" s="1183">
        <f>+AA45/AA37</f>
        <v>0.1365847301260064</v>
      </c>
      <c r="AC45" s="1">
        <v>2224.110468</v>
      </c>
      <c r="AD45" s="1522">
        <f>+AC45/AC37</f>
        <v>0.12871152665585173</v>
      </c>
      <c r="AE45" s="1">
        <v>2109.230692</v>
      </c>
      <c r="AF45" s="1183">
        <f>+AE45/AE37</f>
        <v>0.11748356952801725</v>
      </c>
      <c r="AG45" s="1">
        <v>2155.299164</v>
      </c>
      <c r="AH45" s="1183">
        <f>+AG45/AG37</f>
        <v>0.11598542521189291</v>
      </c>
      <c r="AI45" s="1">
        <v>2097.07718</v>
      </c>
      <c r="AJ45" s="1183">
        <f>+AI45/AI37</f>
        <v>0.1100851030992777</v>
      </c>
      <c r="AK45" s="1">
        <v>2051.7593449999995</v>
      </c>
      <c r="AL45" s="1183">
        <f>+AK45/AK37</f>
        <v>0.10298696846211454</v>
      </c>
      <c r="AM45" s="1">
        <v>18754.582593999996</v>
      </c>
      <c r="AN45" s="1183">
        <f>+AM45/AM37</f>
        <v>0.9022916260854921</v>
      </c>
      <c r="AO45" s="1">
        <v>20017.881547000005</v>
      </c>
      <c r="AP45" s="1183">
        <f>+AO45/AO37</f>
        <v>0.9106364887447894</v>
      </c>
      <c r="AQ45" s="1">
        <v>20998.783541999997</v>
      </c>
      <c r="AR45" s="1183">
        <f>+AQ45/AQ37</f>
        <v>0.9160443031587431</v>
      </c>
      <c r="AS45" s="1">
        <v>22287.983366000008</v>
      </c>
      <c r="AT45" s="1183">
        <f>+AS45/AS37</f>
        <v>0.9184477800888798</v>
      </c>
      <c r="AU45" s="1">
        <v>23433.609762</v>
      </c>
      <c r="AV45" s="1183">
        <f>+AU45/AU37</f>
        <v>0.9186143287931055</v>
      </c>
      <c r="AW45" s="1">
        <v>24586.55764595</v>
      </c>
      <c r="AX45" s="1183">
        <f>+AW45/AW37</f>
        <v>0.9203965036365773</v>
      </c>
      <c r="AY45" s="1516">
        <v>27806.212583</v>
      </c>
      <c r="AZ45" s="1183">
        <f>+AY45/AY37</f>
        <v>0.9286367032431132</v>
      </c>
      <c r="BA45" s="13">
        <f>+AZ45*100</f>
        <v>92.86367032431131</v>
      </c>
      <c r="BB45" s="13"/>
      <c r="BC45" s="6"/>
      <c r="BD45" s="1183"/>
      <c r="BE45" s="13"/>
      <c r="BG45" s="6"/>
      <c r="BH45" s="1183"/>
      <c r="BI45" s="13"/>
      <c r="BJ45" s="6"/>
      <c r="BK45" s="6"/>
      <c r="BL45" s="1183"/>
      <c r="BM45" s="13"/>
      <c r="BN45" s="6"/>
      <c r="BO45" s="6"/>
      <c r="BP45" s="1183"/>
      <c r="BQ45" s="13"/>
    </row>
    <row r="46" spans="2:69" ht="12.75">
      <c r="B46" s="41" t="s">
        <v>6</v>
      </c>
      <c r="C46" s="47">
        <v>13.65847301260064</v>
      </c>
      <c r="D46" s="47">
        <v>12.871152665585173</v>
      </c>
      <c r="E46" s="47">
        <v>11.748356952801725</v>
      </c>
      <c r="F46" s="47">
        <v>11.598542521189291</v>
      </c>
      <c r="G46" s="47">
        <v>11.00851030992777</v>
      </c>
      <c r="H46" s="47">
        <v>10.298696846211454</v>
      </c>
      <c r="I46" s="47">
        <v>9.771922450746914</v>
      </c>
      <c r="J46" s="47">
        <v>8.936471222161895</v>
      </c>
      <c r="K46" s="47">
        <v>8.395684850652167</v>
      </c>
      <c r="L46" s="47">
        <v>8.155221991112017</v>
      </c>
      <c r="M46" s="47">
        <v>8.138567120689453</v>
      </c>
      <c r="N46" s="47">
        <v>7.960349636342269</v>
      </c>
      <c r="O46" s="47">
        <v>7.136329675688691</v>
      </c>
      <c r="P46" s="47">
        <v>7.268284249913598</v>
      </c>
      <c r="Q46" s="47">
        <v>7.441762888373897</v>
      </c>
      <c r="R46" s="47">
        <v>7.189263938477941</v>
      </c>
      <c r="S46" s="47">
        <v>6.802927650273256</v>
      </c>
      <c r="T46" s="47"/>
      <c r="U46" s="48"/>
      <c r="V46" s="44"/>
      <c r="W46" s="44"/>
      <c r="X46" s="45"/>
      <c r="Y46" s="5"/>
      <c r="Z46" s="5"/>
      <c r="AD46" s="12"/>
      <c r="AM46" s="1">
        <v>2031.1429409999996</v>
      </c>
      <c r="AN46" s="1183">
        <f>+AM46/AM37</f>
        <v>0.09771922450746913</v>
      </c>
      <c r="AO46" s="1">
        <v>1964.4416250000036</v>
      </c>
      <c r="AP46" s="1183">
        <f>+AO46/AO37</f>
        <v>0.08936471222161894</v>
      </c>
      <c r="AQ46" s="1">
        <v>1924.5703320000036</v>
      </c>
      <c r="AR46" s="1183">
        <f>+AQ46/AQ37</f>
        <v>0.08395684850652166</v>
      </c>
      <c r="AS46" s="1">
        <v>1979.0287050000002</v>
      </c>
      <c r="AT46" s="1183">
        <f>+AS46/AS37</f>
        <v>0.08155221991112016</v>
      </c>
      <c r="AU46" s="1">
        <v>2076.1270530000033</v>
      </c>
      <c r="AV46" s="1183">
        <f>+AU46/AU37</f>
        <v>0.08138567120689454</v>
      </c>
      <c r="AW46" s="1">
        <v>2126.4487038200036</v>
      </c>
      <c r="AX46" s="1183">
        <f>+AW46/AW37</f>
        <v>0.07960349636342269</v>
      </c>
      <c r="AY46" s="1516">
        <v>2136.834559</v>
      </c>
      <c r="AZ46" s="1183">
        <f>+AY46/AY37</f>
        <v>0.07136329675688691</v>
      </c>
      <c r="BA46" s="13">
        <f>+AZ46*100</f>
        <v>7.136329675688691</v>
      </c>
      <c r="BB46" s="13"/>
      <c r="BC46" s="6"/>
      <c r="BD46" s="1183"/>
      <c r="BE46" s="13"/>
      <c r="BG46" s="6"/>
      <c r="BH46" s="1183"/>
      <c r="BI46" s="13"/>
      <c r="BJ46" s="6"/>
      <c r="BK46" s="6"/>
      <c r="BL46" s="1183"/>
      <c r="BM46" s="13"/>
      <c r="BN46" s="6"/>
      <c r="BO46" s="6"/>
      <c r="BP46" s="1183"/>
      <c r="BQ46" s="13"/>
    </row>
    <row r="47" spans="2:69" ht="12.75">
      <c r="B47" s="46" t="s">
        <v>21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44"/>
      <c r="W47" s="44"/>
      <c r="X47" s="45"/>
      <c r="Y47" s="5"/>
      <c r="Z47" s="5"/>
      <c r="AS47" s="1"/>
      <c r="AY47" s="1516"/>
      <c r="AZ47" s="1183"/>
      <c r="BA47" s="13"/>
      <c r="BB47" s="13"/>
      <c r="BC47" s="6"/>
      <c r="BD47" s="1183"/>
      <c r="BE47" s="13"/>
      <c r="BG47" s="6"/>
      <c r="BH47" s="1183"/>
      <c r="BI47" s="13"/>
      <c r="BJ47" s="6"/>
      <c r="BK47" s="6"/>
      <c r="BL47" s="1183"/>
      <c r="BM47" s="13"/>
      <c r="BN47" s="6"/>
      <c r="BO47" s="6"/>
      <c r="BP47" s="1183"/>
      <c r="BQ47" s="13"/>
    </row>
    <row r="48" spans="2:69" ht="12.75">
      <c r="B48" s="41" t="s">
        <v>19</v>
      </c>
      <c r="C48" s="47">
        <v>77.6434973726459</v>
      </c>
      <c r="D48" s="47">
        <v>77.01189735441505</v>
      </c>
      <c r="E48" s="47">
        <v>85.49105713065094</v>
      </c>
      <c r="F48" s="47">
        <v>90.49320597336205</v>
      </c>
      <c r="G48" s="47">
        <v>91.16516882244247</v>
      </c>
      <c r="H48" s="47">
        <v>91.99498818096791</v>
      </c>
      <c r="I48" s="47">
        <v>92.44088427028457</v>
      </c>
      <c r="J48" s="47">
        <v>92.89069693122055</v>
      </c>
      <c r="K48" s="47">
        <v>93.18657142698198</v>
      </c>
      <c r="L48" s="47">
        <v>93.30306942921041</v>
      </c>
      <c r="M48" s="47">
        <v>93.34033948477153</v>
      </c>
      <c r="N48" s="47">
        <v>93.52345258384842</v>
      </c>
      <c r="O48" s="47">
        <v>94.18043179307635</v>
      </c>
      <c r="P48" s="47">
        <v>94.18295029890933</v>
      </c>
      <c r="Q48" s="47">
        <v>93.85992029503365</v>
      </c>
      <c r="R48" s="47">
        <v>93.42154502746153</v>
      </c>
      <c r="S48" s="47">
        <v>93.65774520711454</v>
      </c>
      <c r="T48" s="47"/>
      <c r="U48" s="48"/>
      <c r="V48" s="44"/>
      <c r="W48" s="44"/>
      <c r="X48" s="45"/>
      <c r="Y48" s="5"/>
      <c r="Z48" s="5"/>
      <c r="AA48">
        <v>13106.3</v>
      </c>
      <c r="AB48" s="1183">
        <f>+AA48/AA37</f>
        <v>0.776434973726459</v>
      </c>
      <c r="AC48">
        <v>13307.508</v>
      </c>
      <c r="AD48" s="1183">
        <f>+AC48/AC37</f>
        <v>0.7701189735441505</v>
      </c>
      <c r="AE48">
        <v>15348.56</v>
      </c>
      <c r="AF48" s="1183">
        <f>+AE48/AE37</f>
        <v>0.8549105713065095</v>
      </c>
      <c r="AG48">
        <v>16815.9</v>
      </c>
      <c r="AH48" s="1183">
        <f>+AG48/AG37</f>
        <v>0.9049320597336205</v>
      </c>
      <c r="AI48">
        <v>17366.6</v>
      </c>
      <c r="AJ48" s="1183">
        <f>+AI48/AI37</f>
        <v>0.9116516882244247</v>
      </c>
      <c r="AK48">
        <v>18327.714614000004</v>
      </c>
      <c r="AL48" s="1183">
        <f>+AK48/AK37</f>
        <v>0.9199498818096791</v>
      </c>
      <c r="AM48">
        <v>19214.3</v>
      </c>
      <c r="AN48" s="1183">
        <f>+AM48/AM37</f>
        <v>0.9244088427028457</v>
      </c>
      <c r="AO48">
        <v>20419.508673</v>
      </c>
      <c r="AP48" s="1183">
        <f>+AO48/AO37</f>
        <v>0.9289069693122054</v>
      </c>
      <c r="AQ48">
        <v>21361.462929999994</v>
      </c>
      <c r="AR48" s="1183">
        <f>+AQ48/AQ37</f>
        <v>0.9318657142698199</v>
      </c>
      <c r="AS48" s="1">
        <v>22641.867121000007</v>
      </c>
      <c r="AT48" s="1183">
        <f>+AS48/AS37</f>
        <v>0.9330306942921041</v>
      </c>
      <c r="AU48" s="1">
        <v>23810.874944792748</v>
      </c>
      <c r="AV48" s="1183">
        <f>+AU48/AU37</f>
        <v>0.9334033948477153</v>
      </c>
      <c r="AW48" s="1">
        <v>24982.925827247567</v>
      </c>
      <c r="AX48" s="1183">
        <f>+AW48/AW37</f>
        <v>0.9352345258384842</v>
      </c>
      <c r="AY48" s="1516">
        <v>28200.49109034</v>
      </c>
      <c r="AZ48" s="1183">
        <f>+AY48/AY37</f>
        <v>0.9418043179307635</v>
      </c>
      <c r="BA48" s="13">
        <f>+AZ48*100</f>
        <v>94.18043179307635</v>
      </c>
      <c r="BB48" s="13"/>
      <c r="BC48" s="6"/>
      <c r="BD48" s="1183"/>
      <c r="BE48" s="13"/>
      <c r="BG48" s="6"/>
      <c r="BH48" s="1183"/>
      <c r="BI48" s="13"/>
      <c r="BJ48" s="6"/>
      <c r="BK48" s="6"/>
      <c r="BL48" s="1183"/>
      <c r="BM48" s="13"/>
      <c r="BN48" s="6"/>
      <c r="BO48" s="6"/>
      <c r="BP48" s="1183"/>
      <c r="BQ48" s="13"/>
    </row>
    <row r="49" spans="2:69" ht="12.75">
      <c r="B49" s="41" t="s">
        <v>20</v>
      </c>
      <c r="C49" s="47">
        <v>22.356502627354104</v>
      </c>
      <c r="D49" s="47">
        <v>22.988102645584952</v>
      </c>
      <c r="E49" s="47">
        <v>14.508942869349054</v>
      </c>
      <c r="F49" s="47">
        <v>9.506794026637966</v>
      </c>
      <c r="G49" s="47">
        <v>8.834831177557536</v>
      </c>
      <c r="H49" s="47">
        <v>8.005011819032086</v>
      </c>
      <c r="I49" s="47">
        <v>7.559115729715426</v>
      </c>
      <c r="J49" s="47">
        <v>7.109423165420282</v>
      </c>
      <c r="K49" s="47">
        <v>6.813543739544466</v>
      </c>
      <c r="L49" s="47">
        <v>6.6969305707895925</v>
      </c>
      <c r="M49" s="47">
        <v>6.659660515228459</v>
      </c>
      <c r="N49" s="47">
        <v>6.476547416151572</v>
      </c>
      <c r="O49" s="47">
        <v>5.819568206923676</v>
      </c>
      <c r="P49" s="47">
        <v>5.817049701090677</v>
      </c>
      <c r="Q49" s="47">
        <v>6.140079704966347</v>
      </c>
      <c r="R49" s="47">
        <v>6.578454972538451</v>
      </c>
      <c r="S49" s="47">
        <v>6.342254792885452</v>
      </c>
      <c r="T49" s="47"/>
      <c r="U49" s="48"/>
      <c r="V49" s="44"/>
      <c r="W49" s="44"/>
      <c r="X49" s="45"/>
      <c r="Y49" s="5"/>
      <c r="Z49" s="5"/>
      <c r="AA49">
        <v>3773.8</v>
      </c>
      <c r="AB49" s="1183">
        <f>+AA49/AA37</f>
        <v>0.22356502627354105</v>
      </c>
      <c r="AC49">
        <v>3972.3</v>
      </c>
      <c r="AD49" s="1183">
        <f>+AC49/AC37</f>
        <v>0.2298810264558495</v>
      </c>
      <c r="AE49">
        <v>2604.85</v>
      </c>
      <c r="AF49" s="1183">
        <f>+AE49/AE37</f>
        <v>0.14508942869349054</v>
      </c>
      <c r="AG49">
        <v>1766.6</v>
      </c>
      <c r="AH49" s="1183">
        <f>+AG49/AG37</f>
        <v>0.09506794026637966</v>
      </c>
      <c r="AI49">
        <v>1683</v>
      </c>
      <c r="AJ49" s="1183">
        <f>+AI49/AI37</f>
        <v>0.08834831177557535</v>
      </c>
      <c r="AK49">
        <v>1594.799619</v>
      </c>
      <c r="AL49" s="1183">
        <f>+AK49/AK37</f>
        <v>0.08005011819032086</v>
      </c>
      <c r="AM49">
        <v>1571.2</v>
      </c>
      <c r="AN49" s="1183">
        <f>+AM49/AM37</f>
        <v>0.07559115729715427</v>
      </c>
      <c r="AO49">
        <v>1562.8144990000035</v>
      </c>
      <c r="AP49" s="1183">
        <f>+AO49/AO37</f>
        <v>0.07109423165420282</v>
      </c>
      <c r="AQ49">
        <v>1561.8909440000034</v>
      </c>
      <c r="AR49" s="1183">
        <f>+AQ49/AQ37</f>
        <v>0.06813543739544466</v>
      </c>
      <c r="AS49" s="1">
        <v>1625.14495</v>
      </c>
      <c r="AT49" s="1183">
        <f>+AS49/AS37</f>
        <v>0.06696930570789593</v>
      </c>
      <c r="AU49" s="1">
        <v>1698.861870207253</v>
      </c>
      <c r="AV49" s="1183">
        <f>+AU49/AU37</f>
        <v>0.06659660515228459</v>
      </c>
      <c r="AW49" s="1">
        <v>1730.0805225224344</v>
      </c>
      <c r="AX49" s="1183">
        <f>+AW49/AW37</f>
        <v>0.06476547416151572</v>
      </c>
      <c r="AY49" s="1516">
        <v>1742.55605166</v>
      </c>
      <c r="AZ49" s="1183">
        <f>+AY49/AY37</f>
        <v>0.05819568206923676</v>
      </c>
      <c r="BA49" s="13">
        <f>+AZ49*100</f>
        <v>5.819568206923676</v>
      </c>
      <c r="BB49" s="13"/>
      <c r="BC49" s="6"/>
      <c r="BD49" s="1183"/>
      <c r="BE49" s="13"/>
      <c r="BG49" s="6"/>
      <c r="BH49" s="1183"/>
      <c r="BI49" s="13"/>
      <c r="BJ49" s="6"/>
      <c r="BK49" s="6"/>
      <c r="BL49" s="1183"/>
      <c r="BM49" s="13"/>
      <c r="BN49" s="6"/>
      <c r="BO49" s="6"/>
      <c r="BP49" s="1183"/>
      <c r="BQ49" s="13"/>
    </row>
    <row r="50" spans="2:54" ht="12.75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4"/>
      <c r="W50" s="44"/>
      <c r="X50" s="45"/>
      <c r="Y50" s="5"/>
      <c r="Z50" s="5"/>
      <c r="AY50" s="1516"/>
      <c r="AZ50" s="1183"/>
      <c r="BA50" s="13"/>
      <c r="BB50" s="13"/>
    </row>
    <row r="51" spans="2:54" ht="12.75">
      <c r="B51" s="80" t="s">
        <v>11</v>
      </c>
      <c r="C51" s="66">
        <v>2491835</v>
      </c>
      <c r="D51" s="66">
        <v>2775713</v>
      </c>
      <c r="E51" s="66">
        <v>2964315</v>
      </c>
      <c r="F51" s="66">
        <v>3057320</v>
      </c>
      <c r="G51" s="66">
        <v>3217058</v>
      </c>
      <c r="H51" s="66">
        <v>3352209</v>
      </c>
      <c r="I51" s="66">
        <v>3462851</v>
      </c>
      <c r="J51" s="66">
        <v>3614484</v>
      </c>
      <c r="K51" s="66">
        <v>3727266</v>
      </c>
      <c r="L51" s="66">
        <v>3860515</v>
      </c>
      <c r="M51" s="66">
        <v>3977100.25</v>
      </c>
      <c r="N51" s="66">
        <v>4165274</v>
      </c>
      <c r="O51" s="66">
        <v>4359862</v>
      </c>
      <c r="P51" s="66">
        <v>4624792</v>
      </c>
      <c r="Q51" s="66">
        <v>4878964</v>
      </c>
      <c r="R51" s="66">
        <v>5170896</v>
      </c>
      <c r="S51" s="66">
        <v>5497509</v>
      </c>
      <c r="T51" s="841"/>
      <c r="U51" s="57">
        <f>((S51/R51)-1)*100</f>
        <v>6.316371476045934</v>
      </c>
      <c r="V51" s="1517">
        <f>((S51/N51)^(1/5))-1</f>
        <v>0.05707176984941431</v>
      </c>
      <c r="W51" s="58">
        <f>((S51/H51)-1)*100</f>
        <v>63.99660641684335</v>
      </c>
      <c r="X51" s="1518">
        <f>((S51/H51)^(1/11))-1</f>
        <v>0.045997007205413</v>
      </c>
      <c r="Y51" s="5"/>
      <c r="Z51" s="5"/>
      <c r="AY51" s="1516"/>
      <c r="AZ51" s="1183"/>
      <c r="BA51" s="13"/>
      <c r="BB51" s="13"/>
    </row>
    <row r="52" spans="2:54" ht="12.75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4"/>
      <c r="W52" s="44"/>
      <c r="X52" s="45"/>
      <c r="Y52" s="5"/>
      <c r="Z52" s="5"/>
      <c r="AY52" s="1516"/>
      <c r="AZ52" s="1183"/>
      <c r="BA52" s="13"/>
      <c r="BB52" s="13"/>
    </row>
    <row r="53" spans="2:68" ht="15">
      <c r="B53" s="80" t="s">
        <v>8</v>
      </c>
      <c r="C53" s="66">
        <v>9849.256128000005</v>
      </c>
      <c r="D53" s="66">
        <v>10330.839597999991</v>
      </c>
      <c r="E53" s="66">
        <v>12451.230159999992</v>
      </c>
      <c r="F53" s="66">
        <v>14008.576822999998</v>
      </c>
      <c r="G53" s="66">
        <v>14591.991559000011</v>
      </c>
      <c r="H53" s="66">
        <v>15545.595392000014</v>
      </c>
      <c r="I53" s="66">
        <v>16628.75454499999</v>
      </c>
      <c r="J53" s="66">
        <v>17605.325913848</v>
      </c>
      <c r="K53" s="66">
        <v>18375.33541</v>
      </c>
      <c r="L53" s="66">
        <v>19640.65111</v>
      </c>
      <c r="M53" s="66">
        <v>20701.382880222223</v>
      </c>
      <c r="N53" s="66">
        <v>22290.061152999995</v>
      </c>
      <c r="O53" s="66">
        <v>24721.748553</v>
      </c>
      <c r="P53" s="66">
        <v>26964.414596000002</v>
      </c>
      <c r="Q53" s="66">
        <v>27087.005777000002</v>
      </c>
      <c r="R53" s="66">
        <v>29436.175124</v>
      </c>
      <c r="S53" s="66">
        <v>31795.547938</v>
      </c>
      <c r="T53" s="841"/>
      <c r="U53" s="57">
        <f>((S53/R53)-1)*100</f>
        <v>8.015215305864754</v>
      </c>
      <c r="V53" s="1517">
        <f>((S53/N53)^(1/5))-1</f>
        <v>0.07362103223347427</v>
      </c>
      <c r="W53" s="58">
        <f>((S53/H53)-1)*100</f>
        <v>104.53091140119626</v>
      </c>
      <c r="X53" s="1518">
        <f>((S53/H53)^(1/11))-1</f>
        <v>0.06721228025339543</v>
      </c>
      <c r="Y53" s="5"/>
      <c r="Z53" s="5"/>
      <c r="AA53" s="3">
        <v>9849.256128000005</v>
      </c>
      <c r="AC53" s="3">
        <v>10330.839597999991</v>
      </c>
      <c r="AE53" s="3">
        <v>12451.230159999992</v>
      </c>
      <c r="AG53" s="3">
        <v>14008.576822999998</v>
      </c>
      <c r="AI53" s="3">
        <v>14591.991559000011</v>
      </c>
      <c r="AK53" s="3">
        <v>15545.595392000014</v>
      </c>
      <c r="AM53" s="3">
        <v>16628.8</v>
      </c>
      <c r="AO53" s="3">
        <v>17605.325913848</v>
      </c>
      <c r="AQ53" s="3">
        <v>18375.33541</v>
      </c>
      <c r="AS53" s="3">
        <v>19640.65111</v>
      </c>
      <c r="AU53" s="3">
        <v>20701.382880222223</v>
      </c>
      <c r="AW53" s="3">
        <v>21639.57411178889</v>
      </c>
      <c r="AY53" s="1519">
        <v>24721.748553</v>
      </c>
      <c r="AZ53" s="1183"/>
      <c r="BA53" s="13"/>
      <c r="BB53" s="13"/>
      <c r="BC53" s="33"/>
      <c r="BD53" s="791"/>
      <c r="BE53" s="33"/>
      <c r="BF53" s="791"/>
      <c r="BG53" s="33"/>
      <c r="BH53" s="791"/>
      <c r="BI53" s="33"/>
      <c r="BK53" s="33"/>
      <c r="BL53" s="86"/>
      <c r="BO53" s="33"/>
      <c r="BP53" s="86"/>
    </row>
    <row r="54" spans="2:68" ht="12.7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4"/>
      <c r="W54" s="44"/>
      <c r="X54" s="45"/>
      <c r="Y54" s="5"/>
      <c r="Z54" s="5"/>
      <c r="AY54" s="1516"/>
      <c r="AZ54" s="1183"/>
      <c r="BA54" s="13"/>
      <c r="BB54" s="13"/>
      <c r="BL54" s="24"/>
      <c r="BP54" s="24"/>
    </row>
    <row r="55" spans="2:68" ht="12.75">
      <c r="B55" s="46" t="s">
        <v>22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4"/>
      <c r="W55" s="44"/>
      <c r="X55" s="45"/>
      <c r="Y55" s="5"/>
      <c r="Z55" s="5"/>
      <c r="AY55" s="1516"/>
      <c r="AZ55" s="1183"/>
      <c r="BA55" s="13"/>
      <c r="BB55" s="13"/>
      <c r="BL55" s="24"/>
      <c r="BP55" s="24"/>
    </row>
    <row r="56" spans="2:69" ht="12.75">
      <c r="B56" s="41" t="s">
        <v>24</v>
      </c>
      <c r="C56" s="47">
        <v>88.06460076047685</v>
      </c>
      <c r="D56" s="47">
        <v>84.8973663060062</v>
      </c>
      <c r="E56" s="47">
        <v>75.3170133351707</v>
      </c>
      <c r="F56" s="47">
        <v>70.51866651279455</v>
      </c>
      <c r="G56" s="47">
        <v>69.89444165837324</v>
      </c>
      <c r="H56" s="47">
        <v>69.23677736099414</v>
      </c>
      <c r="I56" s="47">
        <v>63.27801600235728</v>
      </c>
      <c r="J56" s="47">
        <v>63.12605184013268</v>
      </c>
      <c r="K56" s="47">
        <v>61.51514146973604</v>
      </c>
      <c r="L56" s="47">
        <v>61.10441679751422</v>
      </c>
      <c r="M56" s="47">
        <v>62.38369617597059</v>
      </c>
      <c r="N56" s="47">
        <v>63.46632025579634</v>
      </c>
      <c r="O56" s="47">
        <v>60.805492066117786</v>
      </c>
      <c r="P56" s="47">
        <v>60.4395711502581</v>
      </c>
      <c r="Q56" s="47">
        <v>62.76317244128744</v>
      </c>
      <c r="R56" s="47">
        <v>61.81280353630226</v>
      </c>
      <c r="S56" s="47">
        <v>62.0983914273187</v>
      </c>
      <c r="T56" s="47"/>
      <c r="U56" s="48"/>
      <c r="V56" s="44"/>
      <c r="W56" s="44"/>
      <c r="X56" s="45"/>
      <c r="Y56" s="5"/>
      <c r="Z56" s="5"/>
      <c r="AA56">
        <v>8673.708087000005</v>
      </c>
      <c r="AB56" s="1183">
        <f>+AA56/AA53</f>
        <v>0.8806460076047685</v>
      </c>
      <c r="AC56">
        <v>8770.610735999991</v>
      </c>
      <c r="AD56" s="1183">
        <f>+AC56/AC53</f>
        <v>0.8489736630600621</v>
      </c>
      <c r="AE56">
        <v>9377.89467999999</v>
      </c>
      <c r="AF56" s="1183">
        <f>+AE56/AE53</f>
        <v>0.753170133351707</v>
      </c>
      <c r="AG56">
        <v>9878.661572999998</v>
      </c>
      <c r="AH56" s="1183">
        <f>+AG56/AG53</f>
        <v>0.7051866651279455</v>
      </c>
      <c r="AI56">
        <v>10198.991027000011</v>
      </c>
      <c r="AJ56" s="1183">
        <f>+AI56/AI53</f>
        <v>0.6989444165837324</v>
      </c>
      <c r="AK56">
        <v>10763.269271000014</v>
      </c>
      <c r="AL56" s="1183">
        <f>+AK56/AK53</f>
        <v>0.6923677736099414</v>
      </c>
      <c r="AM56">
        <v>10522.374724999987</v>
      </c>
      <c r="AN56" s="1183">
        <f>+AM56/AM53</f>
        <v>0.6327801600235728</v>
      </c>
      <c r="AO56">
        <v>11113.547163000001</v>
      </c>
      <c r="AP56" s="1183">
        <f>+AO56/AO53</f>
        <v>0.6312605184013268</v>
      </c>
      <c r="AQ56">
        <v>11303.613573</v>
      </c>
      <c r="AR56" s="1183">
        <f>+AQ56/AQ53</f>
        <v>0.6151514146973603</v>
      </c>
      <c r="AS56" s="1">
        <v>12001.305316000002</v>
      </c>
      <c r="AT56" s="1183">
        <f>+AS56/AS53</f>
        <v>0.6110441679751422</v>
      </c>
      <c r="AU56" s="22">
        <v>12914.287800222222</v>
      </c>
      <c r="AV56" s="1183">
        <f>+AU56/AU53</f>
        <v>0.6238369617597059</v>
      </c>
      <c r="AW56" s="1">
        <v>13733.841407778333</v>
      </c>
      <c r="AX56" s="1183">
        <f>+AW56/AW53</f>
        <v>0.6346632025579634</v>
      </c>
      <c r="AY56" s="1516">
        <v>15032.180855000002</v>
      </c>
      <c r="AZ56" s="1183">
        <f>+AY56/AY53</f>
        <v>0.6080549206611778</v>
      </c>
      <c r="BA56" s="13">
        <f>+AZ56*100</f>
        <v>60.805492066117786</v>
      </c>
      <c r="BB56" s="13"/>
      <c r="BC56" s="6"/>
      <c r="BD56" s="1183"/>
      <c r="BE56" s="13"/>
      <c r="BG56" s="6"/>
      <c r="BH56" s="1183"/>
      <c r="BI56" s="13"/>
      <c r="BK56" s="6"/>
      <c r="BL56" s="1183"/>
      <c r="BM56" s="13"/>
      <c r="BO56" s="6"/>
      <c r="BP56" s="1183"/>
      <c r="BQ56" s="13"/>
    </row>
    <row r="57" spans="2:69" ht="12.75">
      <c r="B57" s="41" t="s">
        <v>23</v>
      </c>
      <c r="C57" s="47">
        <v>11.935399239523152</v>
      </c>
      <c r="D57" s="47">
        <v>15.102633693993797</v>
      </c>
      <c r="E57" s="47">
        <v>24.682986664829283</v>
      </c>
      <c r="F57" s="47">
        <v>29.481333487205458</v>
      </c>
      <c r="G57" s="47">
        <v>30.10555834162676</v>
      </c>
      <c r="H57" s="47">
        <v>30.76322263900586</v>
      </c>
      <c r="I57" s="47">
        <v>36.72171064658905</v>
      </c>
      <c r="J57" s="47">
        <v>36.873948159867325</v>
      </c>
      <c r="K57" s="47">
        <v>38.48485853026397</v>
      </c>
      <c r="L57" s="47">
        <v>38.895583202485795</v>
      </c>
      <c r="M57" s="47">
        <v>37.61630382402941</v>
      </c>
      <c r="N57" s="47">
        <v>37.05772014062101</v>
      </c>
      <c r="O57" s="47">
        <v>39.19450793388222</v>
      </c>
      <c r="P57" s="47">
        <v>39.560428849741896</v>
      </c>
      <c r="Q57" s="47">
        <v>37.23682755871256</v>
      </c>
      <c r="R57" s="47">
        <v>38.18719646369773</v>
      </c>
      <c r="S57" s="47">
        <v>37.9016085726813</v>
      </c>
      <c r="T57" s="47"/>
      <c r="U57" s="48"/>
      <c r="V57" s="44"/>
      <c r="W57" s="44"/>
      <c r="X57" s="45"/>
      <c r="Y57" s="5"/>
      <c r="Z57" s="5"/>
      <c r="AA57">
        <v>1175.548041</v>
      </c>
      <c r="AB57" s="1183">
        <f>+AA57/AA53</f>
        <v>0.11935399239523152</v>
      </c>
      <c r="AC57">
        <v>1560.228862</v>
      </c>
      <c r="AD57" s="1183">
        <f>+AC57/AC53</f>
        <v>0.15102633693993797</v>
      </c>
      <c r="AE57">
        <v>3073.3354799999997</v>
      </c>
      <c r="AF57" s="1183">
        <f>+AE57/AE53</f>
        <v>0.24682986664829282</v>
      </c>
      <c r="AG57">
        <v>4129.915250000001</v>
      </c>
      <c r="AH57" s="1183">
        <f>+AG57/AG53</f>
        <v>0.2948133348720546</v>
      </c>
      <c r="AI57">
        <v>4393.000532</v>
      </c>
      <c r="AJ57" s="1183">
        <f>+AI57/AI53</f>
        <v>0.3010555834162676</v>
      </c>
      <c r="AK57">
        <v>4782.326121</v>
      </c>
      <c r="AL57" s="1183">
        <f>+AK57/AK53</f>
        <v>0.3076322263900586</v>
      </c>
      <c r="AM57">
        <v>6106.37982</v>
      </c>
      <c r="AN57" s="1183">
        <f>+AM57/AM53</f>
        <v>0.3672171064658905</v>
      </c>
      <c r="AO57">
        <v>6491.778750848</v>
      </c>
      <c r="AP57" s="1183">
        <f>+AO57/AO53</f>
        <v>0.36873948159867326</v>
      </c>
      <c r="AQ57">
        <v>7071.721837000001</v>
      </c>
      <c r="AR57" s="1183">
        <f>+AQ57/AQ53</f>
        <v>0.3848485853026397</v>
      </c>
      <c r="AS57" s="1">
        <v>7639.345794</v>
      </c>
      <c r="AT57" s="1183">
        <f>+AS57/AS53</f>
        <v>0.38895583202485795</v>
      </c>
      <c r="AU57" s="22">
        <v>7787.095080000001</v>
      </c>
      <c r="AV57" s="1183">
        <f>+AU57/AU53</f>
        <v>0.37616303824029407</v>
      </c>
      <c r="AW57" s="1">
        <v>8019.132813969001</v>
      </c>
      <c r="AX57" s="1183">
        <f>+AW57/AW53</f>
        <v>0.3705772014062101</v>
      </c>
      <c r="AY57" s="1516">
        <v>9689.567697999999</v>
      </c>
      <c r="AZ57" s="1183">
        <f>+AY57/AY53</f>
        <v>0.3919450793388222</v>
      </c>
      <c r="BA57" s="13">
        <f>+AZ57*100</f>
        <v>39.19450793388222</v>
      </c>
      <c r="BB57" s="13"/>
      <c r="BC57" s="6"/>
      <c r="BD57" s="1183"/>
      <c r="BE57" s="13"/>
      <c r="BG57" s="6"/>
      <c r="BH57" s="1183"/>
      <c r="BI57" s="13"/>
      <c r="BK57" s="6"/>
      <c r="BL57" s="1183"/>
      <c r="BM57" s="13"/>
      <c r="BO57" s="6"/>
      <c r="BP57" s="1183"/>
      <c r="BQ57" s="13"/>
    </row>
    <row r="58" spans="2:68" ht="12.75">
      <c r="B58" s="46" t="s">
        <v>25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44"/>
      <c r="W58" s="44"/>
      <c r="X58" s="45"/>
      <c r="Y58" s="5"/>
      <c r="Z58" s="5"/>
      <c r="AS58" s="1"/>
      <c r="AY58" s="1516"/>
      <c r="AZ58" s="1183"/>
      <c r="BA58" s="13"/>
      <c r="BB58" s="13"/>
      <c r="BC58" s="6"/>
      <c r="BD58" s="1183"/>
      <c r="BE58" s="13"/>
      <c r="BG58" s="6"/>
      <c r="BH58" s="1183"/>
      <c r="BI58" s="13"/>
      <c r="BK58" s="6"/>
      <c r="BL58" s="24"/>
      <c r="BO58" s="6"/>
      <c r="BP58" s="24"/>
    </row>
    <row r="59" spans="2:69" ht="12.75">
      <c r="B59" s="41" t="s">
        <v>9</v>
      </c>
      <c r="C59" s="47">
        <v>65.28802559737841</v>
      </c>
      <c r="D59" s="47">
        <v>65.64631826548661</v>
      </c>
      <c r="E59" s="47">
        <v>58.56167903332691</v>
      </c>
      <c r="F59" s="47">
        <v>55.36492535962729</v>
      </c>
      <c r="G59" s="47">
        <v>55.31783171860047</v>
      </c>
      <c r="H59" s="47">
        <v>54.07820072511511</v>
      </c>
      <c r="I59" s="47">
        <v>52.04765226594823</v>
      </c>
      <c r="J59" s="47">
        <v>52.3812444718575</v>
      </c>
      <c r="K59" s="47">
        <v>52.3026659081811</v>
      </c>
      <c r="L59" s="47">
        <v>52.70961387695054</v>
      </c>
      <c r="M59" s="47">
        <v>53.86165219365543</v>
      </c>
      <c r="N59" s="47">
        <v>55.034949002463605</v>
      </c>
      <c r="O59" s="47">
        <v>53.98560073688814</v>
      </c>
      <c r="P59" s="47">
        <v>54.032117115426956</v>
      </c>
      <c r="Q59" s="47">
        <v>56.13283689299667</v>
      </c>
      <c r="R59" s="47">
        <v>55.818565081179806</v>
      </c>
      <c r="S59" s="47">
        <v>56.24204115893856</v>
      </c>
      <c r="T59" s="47"/>
      <c r="U59" s="48"/>
      <c r="V59" s="44"/>
      <c r="W59" s="44"/>
      <c r="X59" s="45"/>
      <c r="Y59" s="5"/>
      <c r="Z59" s="5"/>
      <c r="AA59" s="1">
        <v>6430.384862000004</v>
      </c>
      <c r="AB59" s="1183">
        <f>+AA59/AA53</f>
        <v>0.6528802559737841</v>
      </c>
      <c r="AC59" s="1">
        <v>6781.815841999992</v>
      </c>
      <c r="AD59" s="1183">
        <f>+AC59/AC53</f>
        <v>0.6564631826548661</v>
      </c>
      <c r="AE59" s="1">
        <v>7291.649441999992</v>
      </c>
      <c r="AF59" s="1183">
        <f>+AE59/AE53</f>
        <v>0.5856167903332691</v>
      </c>
      <c r="AG59" s="1">
        <v>7755.838101999997</v>
      </c>
      <c r="AH59" s="1183">
        <f>+AG59/AG53</f>
        <v>0.5536492535962729</v>
      </c>
      <c r="AI59" s="1">
        <v>8071.9733350000115</v>
      </c>
      <c r="AJ59" s="1183">
        <f>+AI59/AI53</f>
        <v>0.5531783171860047</v>
      </c>
      <c r="AK59" s="1">
        <v>8406.778280000013</v>
      </c>
      <c r="AL59" s="1183">
        <f>+AK59/AK53</f>
        <v>0.5407820072511511</v>
      </c>
      <c r="AM59" s="1">
        <v>8654.9</v>
      </c>
      <c r="AN59" s="1183">
        <f>+AM59/AM53</f>
        <v>0.5204765226594823</v>
      </c>
      <c r="AO59" s="1">
        <v>9221.888807000001</v>
      </c>
      <c r="AP59" s="1183">
        <f>+AO59/AO53</f>
        <v>0.523812444718575</v>
      </c>
      <c r="AQ59" s="1">
        <v>9610.790289</v>
      </c>
      <c r="AR59" s="1183">
        <f>+AQ59/AQ53</f>
        <v>0.523026659081811</v>
      </c>
      <c r="AS59" s="1">
        <v>10352.511363000001</v>
      </c>
      <c r="AT59" s="1183">
        <f>+AS59/AS53</f>
        <v>0.5270961387695055</v>
      </c>
      <c r="AU59">
        <v>11150.106846222223</v>
      </c>
      <c r="AV59" s="1183">
        <f>+AU59/AU53</f>
        <v>0.5386165219365543</v>
      </c>
      <c r="AW59" s="1">
        <v>11909.328576773332</v>
      </c>
      <c r="AX59" s="1183">
        <f>+AW59/AW53</f>
        <v>0.5503494900246361</v>
      </c>
      <c r="AY59" s="1516">
        <v>13346.184469000002</v>
      </c>
      <c r="AZ59" s="1183">
        <f>+AY59/AY53</f>
        <v>0.5398560073688814</v>
      </c>
      <c r="BA59" s="13">
        <f>+AZ59*100</f>
        <v>53.98560073688814</v>
      </c>
      <c r="BB59" s="13"/>
      <c r="BC59" s="6"/>
      <c r="BD59" s="1183"/>
      <c r="BE59" s="13"/>
      <c r="BG59" s="6"/>
      <c r="BH59" s="1183"/>
      <c r="BI59" s="13"/>
      <c r="BK59" s="6"/>
      <c r="BL59" s="1183"/>
      <c r="BM59" s="13"/>
      <c r="BO59" s="6"/>
      <c r="BP59" s="1183"/>
      <c r="BQ59" s="13"/>
    </row>
    <row r="60" spans="2:69" ht="12.75">
      <c r="B60" s="41" t="s">
        <v>10</v>
      </c>
      <c r="C60" s="47">
        <v>34.711974402621586</v>
      </c>
      <c r="D60" s="47">
        <v>34.353681734513394</v>
      </c>
      <c r="E60" s="47">
        <v>41.43832096667309</v>
      </c>
      <c r="F60" s="47">
        <v>44.63507464037271</v>
      </c>
      <c r="G60" s="47">
        <v>44.68216828139953</v>
      </c>
      <c r="H60" s="47">
        <v>45.92179927488488</v>
      </c>
      <c r="I60" s="47">
        <v>47.95234773405176</v>
      </c>
      <c r="J60" s="47">
        <v>47.61875552814251</v>
      </c>
      <c r="K60" s="47">
        <v>47.6973340918189</v>
      </c>
      <c r="L60" s="47">
        <v>47.29038612304946</v>
      </c>
      <c r="M60" s="47">
        <v>46.13834780634457</v>
      </c>
      <c r="N60" s="47">
        <v>45.48909139395374</v>
      </c>
      <c r="O60" s="47">
        <v>46.01439926311186</v>
      </c>
      <c r="P60" s="47">
        <v>45.967882884573044</v>
      </c>
      <c r="Q60" s="47">
        <v>43.86716310700333</v>
      </c>
      <c r="R60" s="47">
        <v>44.18143491882019</v>
      </c>
      <c r="S60" s="47">
        <v>43.757958841061445</v>
      </c>
      <c r="T60" s="47"/>
      <c r="U60" s="48"/>
      <c r="V60" s="44"/>
      <c r="W60" s="44"/>
      <c r="X60" s="45"/>
      <c r="Y60" s="5"/>
      <c r="Z60" s="5"/>
      <c r="AA60" s="1">
        <v>3418.8712659999997</v>
      </c>
      <c r="AB60" s="1183">
        <f>+AA60/AA53</f>
        <v>0.34711974402621587</v>
      </c>
      <c r="AC60" s="1">
        <v>3549.0237560000005</v>
      </c>
      <c r="AD60" s="1183">
        <f>+AC60/AC53</f>
        <v>0.34353681734513397</v>
      </c>
      <c r="AE60" s="1">
        <v>5159.580717999999</v>
      </c>
      <c r="AF60" s="1183">
        <f>+AE60/AE53</f>
        <v>0.41438320966673087</v>
      </c>
      <c r="AG60" s="1">
        <v>6252.738721000001</v>
      </c>
      <c r="AH60" s="1183">
        <f>+AG60/AG53</f>
        <v>0.44635074640372707</v>
      </c>
      <c r="AI60" s="1">
        <v>6520.0182239999995</v>
      </c>
      <c r="AJ60" s="1183">
        <f>+AI60/AI53</f>
        <v>0.44682168281399526</v>
      </c>
      <c r="AK60" s="1">
        <v>7138.817112000001</v>
      </c>
      <c r="AL60" s="1183">
        <f>+AK60/AK53</f>
        <v>0.45921799274884884</v>
      </c>
      <c r="AM60" s="1">
        <v>7973.9</v>
      </c>
      <c r="AN60" s="1183">
        <f>+AM60/AM53</f>
        <v>0.47952347734051765</v>
      </c>
      <c r="AO60" s="1">
        <v>8383.437106848</v>
      </c>
      <c r="AP60" s="1183">
        <f>+AO60/AO53</f>
        <v>0.4761875552814251</v>
      </c>
      <c r="AQ60" s="1">
        <v>8764.545121000001</v>
      </c>
      <c r="AR60" s="1183">
        <f>+AQ60/AQ53</f>
        <v>0.47697334091818905</v>
      </c>
      <c r="AS60" s="1">
        <v>9288.139747</v>
      </c>
      <c r="AT60" s="1183">
        <f>+AS60/AS53</f>
        <v>0.4729038612304946</v>
      </c>
      <c r="AU60">
        <v>9551.276034</v>
      </c>
      <c r="AV60" s="1183">
        <f>+AU60/AU53</f>
        <v>0.4613834780634457</v>
      </c>
      <c r="AW60" s="1">
        <v>9843.645644974002</v>
      </c>
      <c r="AX60" s="1183">
        <f>+AW60/AW53</f>
        <v>0.4548909139395374</v>
      </c>
      <c r="AY60" s="1516">
        <v>11375.564084</v>
      </c>
      <c r="AZ60" s="1183">
        <f>+AY60/AY53</f>
        <v>0.4601439926311186</v>
      </c>
      <c r="BA60" s="13">
        <f>+AZ60*100</f>
        <v>46.01439926311186</v>
      </c>
      <c r="BB60" s="13"/>
      <c r="BC60" s="6"/>
      <c r="BD60" s="1183"/>
      <c r="BE60" s="13"/>
      <c r="BG60" s="6"/>
      <c r="BH60" s="1183"/>
      <c r="BI60" s="13"/>
      <c r="BK60" s="6"/>
      <c r="BL60" s="1183"/>
      <c r="BM60" s="13"/>
      <c r="BO60" s="6"/>
      <c r="BP60" s="1183"/>
      <c r="BQ60" s="13"/>
    </row>
    <row r="61" spans="2:68" ht="12.75">
      <c r="B61" s="46" t="s">
        <v>3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8"/>
      <c r="V61" s="44"/>
      <c r="W61" s="44"/>
      <c r="X61" s="45"/>
      <c r="Y61" s="5"/>
      <c r="Z61" s="5"/>
      <c r="AH61" s="15"/>
      <c r="AY61" s="1516"/>
      <c r="AZ61" s="1183"/>
      <c r="BA61" s="13"/>
      <c r="BB61" s="13"/>
      <c r="BC61" s="6"/>
      <c r="BD61" s="1183"/>
      <c r="BE61" s="13"/>
      <c r="BG61" s="6"/>
      <c r="BH61" s="1183"/>
      <c r="BI61" s="13"/>
      <c r="BK61" s="6"/>
      <c r="BL61" s="24"/>
      <c r="BO61" s="6"/>
      <c r="BP61" s="24"/>
    </row>
    <row r="62" spans="2:68" ht="12.75">
      <c r="B62" s="41" t="s">
        <v>4</v>
      </c>
      <c r="C62" s="47">
        <v>85.36135885530292</v>
      </c>
      <c r="D62" s="47">
        <v>85.1020129448341</v>
      </c>
      <c r="E62" s="47">
        <f>80.5201220214213-0.05</f>
        <v>80.4701220214213</v>
      </c>
      <c r="F62" s="47">
        <v>80.71037619921972</v>
      </c>
      <c r="G62" s="47">
        <v>79.91881465835483</v>
      </c>
      <c r="H62" s="47">
        <v>79.68000159308397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/>
      <c r="V62" s="44"/>
      <c r="W62" s="44"/>
      <c r="X62" s="45"/>
      <c r="Y62" s="5"/>
      <c r="Z62" s="5"/>
      <c r="AA62" s="1">
        <v>8407.458867999998</v>
      </c>
      <c r="AB62" s="1183">
        <f>+AA62/AA53</f>
        <v>0.8536135885530293</v>
      </c>
      <c r="AC62" s="1">
        <v>8791.752452</v>
      </c>
      <c r="AD62" s="1183">
        <f>+AC62/AC53</f>
        <v>0.851020129448341</v>
      </c>
      <c r="AE62" s="1">
        <v>10025.745718000002</v>
      </c>
      <c r="AF62" s="1524">
        <f>+AE62/AE53</f>
        <v>0.8052012202142128</v>
      </c>
      <c r="AG62" s="1">
        <v>11306.375054</v>
      </c>
      <c r="AH62" s="1186">
        <f>+AG62/AG53</f>
        <v>0.8071037619921972</v>
      </c>
      <c r="AI62" s="1">
        <v>11661.746689</v>
      </c>
      <c r="AJ62" s="1183">
        <f>+AI62/AI53</f>
        <v>0.7991881465835483</v>
      </c>
      <c r="AK62" s="1">
        <v>12386.730656</v>
      </c>
      <c r="AL62" s="1183">
        <f>+AK62/AK53</f>
        <v>0.7968000159308397</v>
      </c>
      <c r="AY62" s="1516"/>
      <c r="AZ62" s="1183"/>
      <c r="BA62" s="13"/>
      <c r="BB62" s="13"/>
      <c r="BD62" s="1183"/>
      <c r="BE62" s="13"/>
      <c r="BH62" s="1183"/>
      <c r="BI62" s="13"/>
      <c r="BK62" s="6"/>
      <c r="BL62" s="24"/>
      <c r="BO62" s="6"/>
      <c r="BP62" s="24"/>
    </row>
    <row r="63" spans="2:68" ht="12.75">
      <c r="B63" s="41" t="s">
        <v>5</v>
      </c>
      <c r="C63" s="47">
        <v>10.60635344866523</v>
      </c>
      <c r="D63" s="47">
        <v>12.00624642589675</v>
      </c>
      <c r="E63" s="47">
        <v>16.5848001720659</v>
      </c>
      <c r="F63" s="47">
        <v>16.325212888472738</v>
      </c>
      <c r="G63" s="47">
        <v>16.922858391299854</v>
      </c>
      <c r="H63" s="47">
        <v>17.380843678656817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44"/>
      <c r="W63" s="44"/>
      <c r="X63" s="45"/>
      <c r="Y63" s="5"/>
      <c r="Z63" s="5"/>
      <c r="AA63" s="1">
        <v>1044.646917</v>
      </c>
      <c r="AB63" s="1183">
        <f>+AA63/AA53</f>
        <v>0.1060635344866523</v>
      </c>
      <c r="AC63" s="1">
        <v>1240.34606</v>
      </c>
      <c r="AD63" s="1183">
        <f>+AC63/AC53</f>
        <v>0.1200624642589675</v>
      </c>
      <c r="AE63" s="1">
        <v>2065.011641</v>
      </c>
      <c r="AF63" s="1183">
        <f>+AE63/AE53</f>
        <v>0.165848001720659</v>
      </c>
      <c r="AG63" s="1">
        <v>2286.929989</v>
      </c>
      <c r="AH63" s="1186">
        <f>+AG63/AG53</f>
        <v>0.16325212888472737</v>
      </c>
      <c r="AI63" s="1">
        <v>2469.382068</v>
      </c>
      <c r="AJ63" s="1183">
        <f>+AI63/AI53</f>
        <v>0.16922858391299855</v>
      </c>
      <c r="AK63" s="1">
        <v>2701.955634</v>
      </c>
      <c r="AL63" s="1183">
        <f>+AK63/AK53</f>
        <v>0.17380843678656818</v>
      </c>
      <c r="AY63" s="1516"/>
      <c r="AZ63" s="1183"/>
      <c r="BA63" s="13"/>
      <c r="BB63" s="13"/>
      <c r="BD63" s="1183"/>
      <c r="BE63" s="13"/>
      <c r="BH63" s="1183"/>
      <c r="BI63" s="13"/>
      <c r="BK63" s="6"/>
      <c r="BL63" s="24"/>
      <c r="BO63" s="6"/>
      <c r="BP63" s="24"/>
    </row>
    <row r="64" spans="2:69" ht="12.75">
      <c r="B64" s="41" t="s">
        <v>26</v>
      </c>
      <c r="C64" s="47"/>
      <c r="D64" s="47"/>
      <c r="E64" s="47"/>
      <c r="F64" s="47"/>
      <c r="G64" s="47"/>
      <c r="H64" s="47"/>
      <c r="I64" s="47">
        <v>97.44929338857885</v>
      </c>
      <c r="J64" s="47">
        <v>97.90657854444999</v>
      </c>
      <c r="K64" s="47">
        <v>98.15789693930816</v>
      </c>
      <c r="L64" s="47">
        <v>98.10947122923565</v>
      </c>
      <c r="M64" s="47">
        <v>98.00259009075647</v>
      </c>
      <c r="N64" s="47">
        <v>96</v>
      </c>
      <c r="O64" s="47">
        <v>98.21486253266481</v>
      </c>
      <c r="P64" s="47">
        <v>98.17449822154487</v>
      </c>
      <c r="Q64" s="47">
        <v>98.20004992794742</v>
      </c>
      <c r="R64" s="47">
        <v>98.91891866161463</v>
      </c>
      <c r="S64" s="47">
        <v>98.10942105988187</v>
      </c>
      <c r="T64" s="47"/>
      <c r="U64" s="48"/>
      <c r="V64" s="44"/>
      <c r="W64" s="44"/>
      <c r="X64" s="45"/>
      <c r="Y64" s="5"/>
      <c r="Z64" s="5"/>
      <c r="AA64" s="1">
        <v>397.152668</v>
      </c>
      <c r="AB64" s="1183">
        <f>+AA64/AA53</f>
        <v>0.04032311301875404</v>
      </c>
      <c r="AC64" s="1">
        <v>298.741086</v>
      </c>
      <c r="AD64" s="1183">
        <f>+AC64/AC53</f>
        <v>0.028917406292692325</v>
      </c>
      <c r="AE64" s="1">
        <v>360.472802</v>
      </c>
      <c r="AF64" s="1183">
        <f>+AE64/AE53</f>
        <v>0.028950778145442318</v>
      </c>
      <c r="AG64" s="1">
        <v>415.271921</v>
      </c>
      <c r="AH64" s="1183">
        <f>+AG64/AG53</f>
        <v>0.029644119188337915</v>
      </c>
      <c r="AI64" s="1">
        <v>460.86363500000004</v>
      </c>
      <c r="AJ64" s="1183">
        <f>+AI64/AI53</f>
        <v>0.03158332658955999</v>
      </c>
      <c r="AK64" s="1">
        <v>456.909589</v>
      </c>
      <c r="AL64" s="1183">
        <f>+AK64/AK53</f>
        <v>0.02939157860979273</v>
      </c>
      <c r="AM64" s="1">
        <v>16204.648099</v>
      </c>
      <c r="AN64" s="1183">
        <f>+AM64/AM53</f>
        <v>0.9744929338857885</v>
      </c>
      <c r="AO64" s="1">
        <v>17236.772243847998</v>
      </c>
      <c r="AP64" s="1183">
        <f>+AO64/AO53</f>
        <v>0.9790657854444998</v>
      </c>
      <c r="AQ64" s="11">
        <v>18036.842793999997</v>
      </c>
      <c r="AR64" s="1183">
        <f>+AQ64/AQ53</f>
        <v>0.9815789693930815</v>
      </c>
      <c r="AS64" s="1">
        <v>19269.33895</v>
      </c>
      <c r="AT64" s="1183">
        <f>+AS64/AS53</f>
        <v>0.9810947122923565</v>
      </c>
      <c r="AU64">
        <v>20287.89140722222</v>
      </c>
      <c r="AV64" s="1183">
        <f>+AU64/AU53</f>
        <v>0.9800259009075647</v>
      </c>
      <c r="AW64" s="1">
        <v>21303.729070908055</v>
      </c>
      <c r="AX64" s="1183">
        <f>+AW64/AW53</f>
        <v>0.9844800531126039</v>
      </c>
      <c r="AY64" s="1516">
        <v>24280.431357</v>
      </c>
      <c r="AZ64" s="1183">
        <f>+AY64/AY53</f>
        <v>0.982148625326648</v>
      </c>
      <c r="BA64" s="13">
        <f>+AZ64*100</f>
        <v>98.21486253266481</v>
      </c>
      <c r="BB64" s="13"/>
      <c r="BC64" s="6"/>
      <c r="BD64" s="1183"/>
      <c r="BE64" s="13"/>
      <c r="BG64" s="1525"/>
      <c r="BH64" s="1183"/>
      <c r="BI64" s="13"/>
      <c r="BK64" s="6"/>
      <c r="BL64" s="1183"/>
      <c r="BM64" s="13"/>
      <c r="BO64" s="6"/>
      <c r="BP64" s="1183"/>
      <c r="BQ64" s="13"/>
    </row>
    <row r="65" spans="2:69" ht="12.75">
      <c r="B65" s="41" t="s">
        <v>6</v>
      </c>
      <c r="C65" s="47">
        <v>4.032311301875404</v>
      </c>
      <c r="D65" s="47">
        <v>2.8917406292692327</v>
      </c>
      <c r="E65" s="47">
        <v>2.8950778145442317</v>
      </c>
      <c r="F65" s="47">
        <v>2.9644119188337914</v>
      </c>
      <c r="G65" s="47">
        <v>3.1583326589559992</v>
      </c>
      <c r="H65" s="47">
        <v>2.939157860979273</v>
      </c>
      <c r="I65" s="47">
        <v>2.5505170607620515</v>
      </c>
      <c r="J65" s="47">
        <v>2.0934215237112026</v>
      </c>
      <c r="K65" s="47">
        <v>1.8421030606918316</v>
      </c>
      <c r="L65" s="47">
        <v>1.8905287707643617</v>
      </c>
      <c r="M65" s="47">
        <v>1.997409909243518</v>
      </c>
      <c r="N65" s="47">
        <v>4</v>
      </c>
      <c r="O65" s="47">
        <v>1.7851374673351967</v>
      </c>
      <c r="P65" s="47">
        <v>1.8255017784551495</v>
      </c>
      <c r="Q65" s="47">
        <v>1.7999500720525874</v>
      </c>
      <c r="R65" s="47">
        <v>1.0810813383853681</v>
      </c>
      <c r="S65" s="47">
        <v>1.8905789401181352</v>
      </c>
      <c r="T65" s="47"/>
      <c r="U65" s="48"/>
      <c r="V65" s="44"/>
      <c r="W65" s="44"/>
      <c r="X65" s="45"/>
      <c r="Y65" s="5"/>
      <c r="Z65" s="5"/>
      <c r="AM65" s="1">
        <v>424.120381</v>
      </c>
      <c r="AN65" s="1183">
        <f>+AM65/AM53</f>
        <v>0.025505170607620517</v>
      </c>
      <c r="AO65" s="1">
        <v>368.553682</v>
      </c>
      <c r="AP65" s="1183">
        <f>+AO65/AO53</f>
        <v>0.020934215237112027</v>
      </c>
      <c r="AQ65" s="1">
        <v>338.49261599999994</v>
      </c>
      <c r="AR65" s="1183">
        <f>+AQ65/AQ53</f>
        <v>0.018421030606918316</v>
      </c>
      <c r="AS65" s="1">
        <v>371.31215999999995</v>
      </c>
      <c r="AT65" s="1183">
        <f>+AS65/AS53</f>
        <v>0.018905287707643617</v>
      </c>
      <c r="AU65">
        <v>413.49147299999987</v>
      </c>
      <c r="AV65" s="1183">
        <f>+AU65/AU53</f>
        <v>0.01997409909243518</v>
      </c>
      <c r="AW65" s="1">
        <v>450.2922140969998</v>
      </c>
      <c r="AX65" s="1183">
        <f>+AW65/AW53</f>
        <v>0.0208087373517988</v>
      </c>
      <c r="AY65" s="1516">
        <v>441.31719599999985</v>
      </c>
      <c r="AZ65" s="1183">
        <f>+AY65/AY53</f>
        <v>0.017851374673351968</v>
      </c>
      <c r="BA65" s="13">
        <f>+AZ65*100</f>
        <v>1.7851374673351967</v>
      </c>
      <c r="BB65" s="13"/>
      <c r="BC65" s="6"/>
      <c r="BD65" s="1183"/>
      <c r="BE65" s="13"/>
      <c r="BG65" s="1525"/>
      <c r="BH65" s="1183"/>
      <c r="BI65" s="13"/>
      <c r="BK65" s="6"/>
      <c r="BL65" s="1183"/>
      <c r="BM65" s="13"/>
      <c r="BO65" s="6"/>
      <c r="BP65" s="1183"/>
      <c r="BQ65" s="13"/>
    </row>
    <row r="66" spans="2:59" ht="12.7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4"/>
      <c r="W66" s="44"/>
      <c r="X66" s="45"/>
      <c r="Y66" s="5"/>
      <c r="Z66" s="5"/>
      <c r="AY66" s="32"/>
      <c r="BA66" s="13"/>
      <c r="BB66" s="13"/>
      <c r="BC66" s="6"/>
      <c r="BG66" s="6"/>
    </row>
    <row r="67" spans="2:54" ht="12.75">
      <c r="B67" s="56" t="s">
        <v>31</v>
      </c>
      <c r="C67" s="71">
        <v>19.7</v>
      </c>
      <c r="D67" s="71">
        <v>17</v>
      </c>
      <c r="E67" s="71">
        <v>14.5</v>
      </c>
      <c r="F67" s="71">
        <v>12.4</v>
      </c>
      <c r="G67" s="71">
        <v>11.3</v>
      </c>
      <c r="H67" s="71">
        <v>10.4</v>
      </c>
      <c r="I67" s="71">
        <v>9.7</v>
      </c>
      <c r="J67" s="71">
        <v>9.1</v>
      </c>
      <c r="K67" s="71">
        <v>9.07</v>
      </c>
      <c r="L67" s="71">
        <v>8.7</v>
      </c>
      <c r="M67" s="71">
        <v>8.4</v>
      </c>
      <c r="N67" s="71">
        <v>8.552</v>
      </c>
      <c r="O67" s="71">
        <v>8.174</v>
      </c>
      <c r="P67" s="71">
        <v>8.004</v>
      </c>
      <c r="Q67" s="71">
        <v>7.85</v>
      </c>
      <c r="R67" s="71">
        <v>7.81</v>
      </c>
      <c r="S67" s="71">
        <v>7.6</v>
      </c>
      <c r="T67" s="71"/>
      <c r="U67" s="57">
        <f>((S67/R67)-1)*100</f>
        <v>-2.688860435339313</v>
      </c>
      <c r="V67" s="1517">
        <f>((S67/N67)^(1/5))-1</f>
        <v>-0.02332700416802136</v>
      </c>
      <c r="W67" s="58">
        <f>((S67/H67)-1)*100</f>
        <v>-26.923076923076927</v>
      </c>
      <c r="X67" s="1518">
        <f>((S67/H67)^(1/11))-1</f>
        <v>-0.028111626828044245</v>
      </c>
      <c r="Y67" s="5"/>
      <c r="Z67" s="5"/>
      <c r="AY67" s="32"/>
      <c r="BA67" s="13"/>
      <c r="BB67" s="13"/>
    </row>
    <row r="68" spans="2:54" ht="12.75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4"/>
      <c r="W68" s="44"/>
      <c r="X68" s="45"/>
      <c r="Y68" s="5"/>
      <c r="Z68" s="5"/>
      <c r="AY68" s="32"/>
      <c r="BA68" s="13"/>
      <c r="BB68" s="13"/>
    </row>
    <row r="69" spans="2:54" ht="12.75">
      <c r="B69" s="56" t="s">
        <v>32</v>
      </c>
      <c r="C69" s="72">
        <v>295.166629</v>
      </c>
      <c r="D69" s="72">
        <v>508.847377</v>
      </c>
      <c r="E69" s="72">
        <v>594.183881</v>
      </c>
      <c r="F69" s="72">
        <v>612.999431</v>
      </c>
      <c r="G69" s="72">
        <v>764.1792280118343</v>
      </c>
      <c r="H69" s="72">
        <v>659.2139999999999</v>
      </c>
      <c r="I69" s="72">
        <v>351.06397000000004</v>
      </c>
      <c r="J69" s="72">
        <v>259.529</v>
      </c>
      <c r="K69" s="72">
        <v>235.385</v>
      </c>
      <c r="L69" s="72">
        <v>323.773</v>
      </c>
      <c r="M69" s="72">
        <v>393.73589000000004</v>
      </c>
      <c r="N69" s="72">
        <v>480.15671</v>
      </c>
      <c r="O69" s="72">
        <v>629.00013</v>
      </c>
      <c r="P69" s="72">
        <v>862.007</v>
      </c>
      <c r="Q69" s="83">
        <v>1176.8417200000001</v>
      </c>
      <c r="R69" s="83">
        <v>1367.7389999999998</v>
      </c>
      <c r="S69" s="83">
        <v>1880</v>
      </c>
      <c r="T69" s="72"/>
      <c r="U69" s="57">
        <f>((S69/R69)-1)*100</f>
        <v>37.4531251942074</v>
      </c>
      <c r="V69" s="1517">
        <f>((S69/N69)^(1/5))-1</f>
        <v>0.31387778416483125</v>
      </c>
      <c r="W69" s="58">
        <f>((S69/H69)-1)*100</f>
        <v>185.18811797079553</v>
      </c>
      <c r="X69" s="1518">
        <f>((S69/H69)^(1/11))-1</f>
        <v>0.0999566870270161</v>
      </c>
      <c r="Y69" s="5"/>
      <c r="Z69" s="5"/>
      <c r="AY69" s="32"/>
      <c r="BA69" s="13"/>
      <c r="BB69" s="13"/>
    </row>
    <row r="70" spans="2:54" ht="12.75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4"/>
      <c r="W70" s="44"/>
      <c r="X70" s="45"/>
      <c r="Y70" s="5"/>
      <c r="Z70" s="5"/>
      <c r="AY70" s="32"/>
      <c r="BA70" s="13"/>
      <c r="BB70" s="13"/>
    </row>
    <row r="71" spans="2:54" ht="12.75">
      <c r="B71" s="56" t="s">
        <v>36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73"/>
      <c r="V71" s="74"/>
      <c r="W71" s="75"/>
      <c r="X71" s="76"/>
      <c r="Y71" s="5"/>
      <c r="Z71" s="5"/>
      <c r="AB71" t="s">
        <v>12</v>
      </c>
      <c r="AY71" s="32"/>
      <c r="BA71" s="13"/>
      <c r="BB71" s="13"/>
    </row>
    <row r="72" spans="2:54" ht="12.75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4"/>
      <c r="W72" s="44"/>
      <c r="X72" s="45"/>
      <c r="Y72" s="5"/>
      <c r="Z72" s="5"/>
      <c r="AA72" t="s">
        <v>13</v>
      </c>
      <c r="AB72" t="s">
        <v>14</v>
      </c>
      <c r="AC72" t="s">
        <v>15</v>
      </c>
      <c r="AE72" t="s">
        <v>16</v>
      </c>
      <c r="AY72" s="32"/>
      <c r="BA72" s="13"/>
      <c r="BB72" s="13"/>
    </row>
    <row r="73" spans="2:54" ht="14.25">
      <c r="B73" s="41" t="s">
        <v>37</v>
      </c>
      <c r="C73" s="49">
        <v>23345374.457474682</v>
      </c>
      <c r="D73" s="49">
        <v>23706552.27896985</v>
      </c>
      <c r="E73" s="49">
        <v>24073317.90626259</v>
      </c>
      <c r="F73" s="49">
        <v>24445757.788663395</v>
      </c>
      <c r="G73" s="49">
        <v>24823959.712945703</v>
      </c>
      <c r="H73" s="49">
        <v>25208012.824037906</v>
      </c>
      <c r="I73" s="49">
        <v>25598007.646035425</v>
      </c>
      <c r="J73" s="49">
        <v>25994036.103537917</v>
      </c>
      <c r="K73" s="49">
        <v>26396191.54331655</v>
      </c>
      <c r="L73" s="49">
        <v>26804568.756316524</v>
      </c>
      <c r="M73" s="49">
        <v>27810540</v>
      </c>
      <c r="N73" s="49">
        <v>28151443</v>
      </c>
      <c r="O73" s="49">
        <v>28481901</v>
      </c>
      <c r="P73" s="49">
        <v>28807034</v>
      </c>
      <c r="Q73" s="49">
        <v>29132013</v>
      </c>
      <c r="R73" s="49">
        <v>29461933</v>
      </c>
      <c r="S73" s="49">
        <v>29797694</v>
      </c>
      <c r="T73" s="49"/>
      <c r="U73" s="50">
        <f>((S73/R73)-1)*100</f>
        <v>1.1396434850354131</v>
      </c>
      <c r="V73" s="1526">
        <f>((S73/N73)^(1/5))-1</f>
        <v>0.011431322587234671</v>
      </c>
      <c r="W73" s="1527">
        <f>((S73/H73)-1)*100</f>
        <v>18.207231200650043</v>
      </c>
      <c r="X73" s="1528">
        <f>((S73/H73)^(1/11))-1</f>
        <v>0.015322485101944228</v>
      </c>
      <c r="Y73" s="5"/>
      <c r="Z73" s="5"/>
      <c r="BA73" s="13"/>
      <c r="BB73" s="13"/>
    </row>
    <row r="74" spans="2:54" ht="12.75">
      <c r="B74" s="41" t="s">
        <v>17</v>
      </c>
      <c r="C74" s="47">
        <v>583.5441257459975</v>
      </c>
      <c r="D74" s="47">
        <v>603.3411957034489</v>
      </c>
      <c r="E74" s="47">
        <v>625.4260513081665</v>
      </c>
      <c r="F74" s="47">
        <v>645.3134715388395</v>
      </c>
      <c r="G74" s="47">
        <v>655.6162573254821</v>
      </c>
      <c r="H74" s="47">
        <v>679.9581994283676</v>
      </c>
      <c r="I74" s="47">
        <v>710.9910582364704</v>
      </c>
      <c r="J74" s="47">
        <v>737.4053162232518</v>
      </c>
      <c r="K74" s="47">
        <v>755.3069283226978</v>
      </c>
      <c r="L74" s="47">
        <v>794.1826851806196</v>
      </c>
      <c r="M74" s="47">
        <v>805.4588206640173</v>
      </c>
      <c r="N74" s="47">
        <v>854.1702850053338</v>
      </c>
      <c r="O74" s="47">
        <v>929.1621582653489</v>
      </c>
      <c r="P74" s="49">
        <v>1001.5890432524227</v>
      </c>
      <c r="Q74" s="49">
        <v>999.2388378722745</v>
      </c>
      <c r="R74" s="49">
        <v>1079.3034950558063</v>
      </c>
      <c r="S74" s="49">
        <v>1149.4124694618326</v>
      </c>
      <c r="T74" s="47"/>
      <c r="U74" s="50">
        <f>((S74/R74)-1)*100</f>
        <v>6.495760898319092</v>
      </c>
      <c r="V74" s="1526">
        <f>((S74/N74)^(1/5))-1</f>
        <v>0.06117323844500455</v>
      </c>
      <c r="W74" s="1527">
        <f>((S74/H74)-1)*100</f>
        <v>69.04163674004215</v>
      </c>
      <c r="X74" s="1528">
        <f>((S74/H74)^(1/11))-1</f>
        <v>0.048882160650621787</v>
      </c>
      <c r="Y74" s="5"/>
      <c r="Z74" s="5"/>
      <c r="AA74" s="6">
        <v>8407</v>
      </c>
      <c r="AB74" s="6">
        <v>7139</v>
      </c>
      <c r="AC74" s="6">
        <v>1595</v>
      </c>
      <c r="AD74" s="6"/>
      <c r="AE74" s="6">
        <v>25662000</v>
      </c>
      <c r="AF74" s="6"/>
      <c r="BA74" s="13"/>
      <c r="BB74" s="13"/>
    </row>
    <row r="75" spans="2:54" ht="12.75">
      <c r="B75" s="41" t="s">
        <v>35</v>
      </c>
      <c r="C75" s="47">
        <v>723.0603489247248</v>
      </c>
      <c r="D75" s="47">
        <v>728.9044855471865</v>
      </c>
      <c r="E75" s="47">
        <v>745.780355034878</v>
      </c>
      <c r="F75" s="47">
        <v>760.1539296367229</v>
      </c>
      <c r="G75" s="47">
        <v>767.3883464718007</v>
      </c>
      <c r="H75" s="47">
        <v>790.3319264818081</v>
      </c>
      <c r="I75" s="47">
        <v>812.0055991240105</v>
      </c>
      <c r="J75" s="47">
        <v>845.6679480032001</v>
      </c>
      <c r="K75" s="47">
        <v>868.4341389318389</v>
      </c>
      <c r="L75" s="47">
        <v>905.3311878140721</v>
      </c>
      <c r="M75" s="47">
        <v>917.2686619893035</v>
      </c>
      <c r="N75" s="47">
        <v>972.2353744914602</v>
      </c>
      <c r="O75" s="49">
        <v>1051.300864433171</v>
      </c>
      <c r="P75" s="49">
        <v>1126.915956811104</v>
      </c>
      <c r="Q75" s="49">
        <v>1130.8774241244505</v>
      </c>
      <c r="R75" s="49">
        <v>1218.793347401883</v>
      </c>
      <c r="S75" s="47">
        <v>1298.6738219561546</v>
      </c>
      <c r="T75" s="47"/>
      <c r="U75" s="50">
        <f>((R75/Q75)-1)*100</f>
        <v>7.774133730319965</v>
      </c>
      <c r="V75" s="1526">
        <f>((R75/M75)^(1/5))-1</f>
        <v>0.05848986431818548</v>
      </c>
      <c r="W75" s="1527">
        <f>((R75/H75)-1)*100</f>
        <v>54.212844826778905</v>
      </c>
      <c r="X75" s="1528">
        <f>((R75/H75)^(1/10))-1</f>
        <v>0.0442682043083833</v>
      </c>
      <c r="Y75" s="5"/>
      <c r="Z75" s="5"/>
      <c r="BA75" s="13"/>
      <c r="BB75" s="13"/>
    </row>
    <row r="76" spans="2:54" ht="13.5" thickBo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3"/>
      <c r="V76" s="54"/>
      <c r="W76" s="54"/>
      <c r="X76" s="55"/>
      <c r="Y76" s="5"/>
      <c r="Z76" s="5"/>
      <c r="AA76" t="s">
        <v>18</v>
      </c>
      <c r="BA76" s="13"/>
      <c r="BB76" s="13"/>
    </row>
    <row r="77" spans="2:54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81">
        <v>21287.72439</v>
      </c>
      <c r="M77" s="82">
        <v>22400.244750429476</v>
      </c>
      <c r="N77" s="82">
        <v>24046.12609062141</v>
      </c>
      <c r="O77" s="82">
        <v>26464.30460466</v>
      </c>
      <c r="P77" s="82">
        <v>28833.06706300001</v>
      </c>
      <c r="Q77" s="82">
        <v>28976.70780855008</v>
      </c>
      <c r="R77" s="82"/>
      <c r="S77" s="5"/>
      <c r="T77" s="5"/>
      <c r="U77" s="5"/>
      <c r="V77" s="5"/>
      <c r="W77" s="5"/>
      <c r="X77" s="5"/>
      <c r="Y77" s="5"/>
      <c r="Z77" s="5"/>
      <c r="AA77" s="6">
        <v>19923</v>
      </c>
      <c r="BA77" s="13"/>
      <c r="BB77" s="13"/>
    </row>
    <row r="78" spans="2:54" ht="12.75">
      <c r="B78" s="29" t="s">
        <v>44</v>
      </c>
      <c r="C78" s="5"/>
      <c r="D78" s="5"/>
      <c r="E78" s="5"/>
      <c r="F78" s="5"/>
      <c r="G78" s="5"/>
      <c r="H78" s="5"/>
      <c r="I78" s="5"/>
      <c r="J78" s="5"/>
      <c r="K78" s="5"/>
      <c r="L78" s="82">
        <f aca="true" t="shared" si="0" ref="L78:Q78">+L77/L73*1000000</f>
        <v>794.1826851806196</v>
      </c>
      <c r="M78" s="82">
        <f t="shared" si="0"/>
        <v>805.4588206640173</v>
      </c>
      <c r="N78" s="82">
        <f t="shared" si="0"/>
        <v>854.1702850053338</v>
      </c>
      <c r="O78" s="82">
        <f t="shared" si="0"/>
        <v>929.1621582653489</v>
      </c>
      <c r="P78" s="82">
        <f t="shared" si="0"/>
        <v>1000.9037050811968</v>
      </c>
      <c r="Q78" s="82">
        <f t="shared" si="0"/>
        <v>994.6689165815654</v>
      </c>
      <c r="R78" s="82"/>
      <c r="S78" s="5"/>
      <c r="T78" s="5"/>
      <c r="U78" s="5"/>
      <c r="V78" s="5"/>
      <c r="W78" s="5"/>
      <c r="X78" s="5"/>
      <c r="Y78" s="5"/>
      <c r="Z78" s="5"/>
      <c r="BA78" s="13"/>
      <c r="BB78" s="13"/>
    </row>
    <row r="79" spans="2:54" ht="12.75">
      <c r="B79" t="s">
        <v>173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567"/>
      <c r="S79" s="1567"/>
      <c r="T79" s="790"/>
      <c r="U79" s="5"/>
      <c r="V79" s="5"/>
      <c r="W79" s="5"/>
      <c r="X79" s="5"/>
      <c r="Y79" s="5"/>
      <c r="Z79" s="5"/>
      <c r="BA79" s="13"/>
      <c r="BB79" s="13"/>
    </row>
    <row r="80" spans="2:54" ht="12.75">
      <c r="B80" s="30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B80" s="6"/>
      <c r="BA80" s="13"/>
      <c r="BB80" s="13"/>
    </row>
    <row r="81" spans="2:54" ht="13.5">
      <c r="B81" s="29" t="s">
        <v>38</v>
      </c>
      <c r="X81" s="5"/>
      <c r="Y81" s="5"/>
      <c r="Z81" s="5"/>
      <c r="BA81" s="13"/>
      <c r="BB81" s="13"/>
    </row>
    <row r="82" spans="24:54" ht="12.75">
      <c r="X82" s="5"/>
      <c r="Y82" s="5"/>
      <c r="Z82" s="5"/>
      <c r="BA82" s="13"/>
      <c r="BB82" s="13"/>
    </row>
    <row r="83" spans="2:54" ht="12.75">
      <c r="B83" s="29"/>
      <c r="BA83" s="13"/>
      <c r="BB83" s="13"/>
    </row>
    <row r="84" spans="53:54" ht="12.75">
      <c r="BA84" s="13"/>
      <c r="BB84" s="13"/>
    </row>
    <row r="85" spans="2:54" ht="12.75">
      <c r="B85" s="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5"/>
      <c r="Y85" s="5"/>
      <c r="Z85" s="5"/>
      <c r="BA85" s="13"/>
      <c r="BB85" s="13"/>
    </row>
    <row r="86" spans="2:54" ht="12.75">
      <c r="B86" s="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5"/>
      <c r="Y86" s="5"/>
      <c r="Z86" s="5"/>
      <c r="BA86" s="13"/>
      <c r="BB86" s="13"/>
    </row>
    <row r="87" spans="53:54" ht="12.75">
      <c r="BA87" s="13"/>
      <c r="BB87" s="13"/>
    </row>
    <row r="88" spans="53:54" ht="12.75">
      <c r="BA88" s="13"/>
      <c r="BB88" s="13"/>
    </row>
    <row r="89" spans="53:54" ht="12.75">
      <c r="BA89" s="13"/>
      <c r="BB89" s="13"/>
    </row>
    <row r="92" spans="28:36" ht="12.75">
      <c r="AB92" s="7"/>
      <c r="AC92" s="7"/>
      <c r="AD92" s="7"/>
      <c r="AE92" s="8"/>
      <c r="AF92" s="8"/>
      <c r="AG92" s="8"/>
      <c r="AH92" s="8"/>
      <c r="AI92" s="8"/>
      <c r="AJ92" s="8"/>
    </row>
    <row r="93" spans="25:26" ht="12.75">
      <c r="Y93" s="6"/>
      <c r="Z93" s="6"/>
    </row>
    <row r="96" spans="28:32" ht="12.75">
      <c r="AB96" s="1"/>
      <c r="AC96" s="1"/>
      <c r="AD96" s="1"/>
      <c r="AE96" s="1"/>
      <c r="AF96" s="1"/>
    </row>
    <row r="97" spans="28:32" ht="12.75">
      <c r="AB97" s="1"/>
      <c r="AC97" s="1"/>
      <c r="AD97" s="1"/>
      <c r="AE97" s="1"/>
      <c r="AF97" s="1"/>
    </row>
    <row r="98" spans="28:32" ht="12.75">
      <c r="AB98" s="1"/>
      <c r="AC98" s="1"/>
      <c r="AD98" s="1"/>
      <c r="AE98" s="1"/>
      <c r="AF98" s="1"/>
    </row>
    <row r="99" spans="28:32" ht="12.75">
      <c r="AB99" s="1"/>
      <c r="AC99" s="1"/>
      <c r="AD99" s="1"/>
      <c r="AE99" s="1"/>
      <c r="AF99" s="1"/>
    </row>
    <row r="100" spans="28:32" ht="12.75">
      <c r="AB100" s="1"/>
      <c r="AC100" s="1"/>
      <c r="AD100" s="1"/>
      <c r="AE100" s="1"/>
      <c r="AF100" s="1"/>
    </row>
    <row r="101" spans="28:32" ht="12.75">
      <c r="AB101" s="1"/>
      <c r="AC101" s="1"/>
      <c r="AD101" s="1"/>
      <c r="AE101" s="1"/>
      <c r="AF101" s="1"/>
    </row>
    <row r="102" spans="28:32" ht="12.75">
      <c r="AB102" s="1"/>
      <c r="AC102" s="1"/>
      <c r="AD102" s="1"/>
      <c r="AE102" s="1"/>
      <c r="AF102" s="1"/>
    </row>
    <row r="103" spans="28:32" ht="12.75">
      <c r="AB103" s="1"/>
      <c r="AC103" s="1"/>
      <c r="AD103" s="1"/>
      <c r="AE103" s="1"/>
      <c r="AF103" s="1"/>
    </row>
    <row r="104" spans="28:32" ht="12.75">
      <c r="AB104" s="1"/>
      <c r="AC104" s="1"/>
      <c r="AD104" s="1"/>
      <c r="AE104" s="1"/>
      <c r="AF104" s="1"/>
    </row>
    <row r="105" spans="28:32" ht="12.75">
      <c r="AB105" s="1"/>
      <c r="AC105" s="1"/>
      <c r="AD105" s="1"/>
      <c r="AE105" s="1"/>
      <c r="AF105" s="1"/>
    </row>
    <row r="106" spans="28:32" ht="12.75">
      <c r="AB106" s="1"/>
      <c r="AC106" s="1"/>
      <c r="AD106" s="1"/>
      <c r="AE106" s="1"/>
      <c r="AF106" s="1"/>
    </row>
    <row r="107" spans="28:32" ht="12.75">
      <c r="AB107" s="1"/>
      <c r="AC107" s="1"/>
      <c r="AD107" s="1"/>
      <c r="AE107" s="1"/>
      <c r="AF107" s="1"/>
    </row>
    <row r="108" spans="28:32" ht="12.75">
      <c r="AB108" s="7"/>
      <c r="AC108" s="7"/>
      <c r="AD108" s="7"/>
      <c r="AE108" s="8"/>
      <c r="AF108" s="8"/>
    </row>
  </sheetData>
  <sheetProtection password="B728" sheet="1"/>
  <mergeCells count="1">
    <mergeCell ref="R79:S79"/>
  </mergeCells>
  <printOptions horizontalCentered="1" verticalCentered="1"/>
  <pageMargins left="0.4724409448818898" right="0.4330708661417323" top="0.07874015748031496" bottom="0.984251968503937" header="0" footer="0"/>
  <pageSetup horizontalDpi="600" verticalDpi="600" orientation="landscape" paperSize="9" scale="4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Y87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5.00390625" style="0" customWidth="1"/>
    <col min="2" max="2" width="20.00390625" style="0" customWidth="1"/>
    <col min="3" max="3" width="12.421875" style="0" customWidth="1"/>
    <col min="4" max="6" width="15.140625" style="0" customWidth="1"/>
    <col min="7" max="9" width="11.57421875" style="0" customWidth="1"/>
    <col min="10" max="12" width="12.140625" style="0" customWidth="1"/>
    <col min="13" max="13" width="9.7109375" style="0" customWidth="1"/>
    <col min="14" max="14" width="3.421875" style="0" customWidth="1"/>
    <col min="15" max="15" width="3.57421875" style="0" customWidth="1"/>
    <col min="16" max="16" width="25.421875" style="0" customWidth="1"/>
    <col min="17" max="17" width="9.7109375" style="0" customWidth="1"/>
    <col min="18" max="19" width="9.7109375" style="0" hidden="1" customWidth="1"/>
    <col min="20" max="20" width="3.421875" style="0" hidden="1" customWidth="1"/>
    <col min="21" max="21" width="8.140625" style="0" hidden="1" customWidth="1"/>
    <col min="22" max="22" width="14.8515625" style="0" hidden="1" customWidth="1"/>
    <col min="23" max="23" width="9.57421875" style="0" customWidth="1"/>
    <col min="24" max="24" width="14.8515625" style="0" customWidth="1"/>
    <col min="25" max="25" width="13.8515625" style="0" bestFit="1" customWidth="1"/>
    <col min="26" max="26" width="12.8515625" style="0" bestFit="1" customWidth="1"/>
    <col min="27" max="27" width="13.8515625" style="0" bestFit="1" customWidth="1"/>
    <col min="28" max="28" width="13.00390625" style="0" customWidth="1"/>
    <col min="29" max="30" width="9.7109375" style="0" customWidth="1"/>
    <col min="34" max="34" width="8.7109375" style="0" customWidth="1"/>
    <col min="38" max="38" width="8.57421875" style="0" customWidth="1"/>
  </cols>
  <sheetData>
    <row r="1" ht="12.75">
      <c r="B1" s="34"/>
    </row>
    <row r="2" ht="15.75">
      <c r="B2" s="88" t="s">
        <v>93</v>
      </c>
    </row>
    <row r="3" ht="12" customHeight="1">
      <c r="B3" s="88"/>
    </row>
    <row r="4" ht="13.5" thickBot="1">
      <c r="B4" s="79"/>
    </row>
    <row r="5" spans="2:13" ht="15.75" thickBot="1">
      <c r="B5" s="328" t="s">
        <v>47</v>
      </c>
      <c r="C5" s="209" t="s">
        <v>64</v>
      </c>
      <c r="D5" s="1553" t="s">
        <v>74</v>
      </c>
      <c r="E5" s="1554"/>
      <c r="F5" s="1555"/>
      <c r="G5" s="1553" t="s">
        <v>81</v>
      </c>
      <c r="H5" s="1554"/>
      <c r="I5" s="1555"/>
      <c r="J5" s="1556" t="s">
        <v>73</v>
      </c>
      <c r="K5" s="1557"/>
      <c r="L5" s="1557"/>
      <c r="M5" s="1558"/>
    </row>
    <row r="6" spans="2:13" ht="13.5" thickBot="1">
      <c r="B6" s="231"/>
      <c r="C6" s="330"/>
      <c r="D6" s="331" t="s">
        <v>68</v>
      </c>
      <c r="E6" s="332" t="s">
        <v>69</v>
      </c>
      <c r="F6" s="333" t="s">
        <v>70</v>
      </c>
      <c r="G6" s="334" t="s">
        <v>68</v>
      </c>
      <c r="H6" s="335" t="s">
        <v>69</v>
      </c>
      <c r="I6" s="331" t="s">
        <v>70</v>
      </c>
      <c r="J6" s="331" t="s">
        <v>68</v>
      </c>
      <c r="K6" s="331" t="s">
        <v>69</v>
      </c>
      <c r="L6" s="331" t="s">
        <v>70</v>
      </c>
      <c r="M6" s="333" t="s">
        <v>71</v>
      </c>
    </row>
    <row r="7" spans="2:13" ht="12.75">
      <c r="B7" s="233"/>
      <c r="C7" s="234"/>
      <c r="D7" s="166"/>
      <c r="E7" s="167"/>
      <c r="F7" s="336"/>
      <c r="G7" s="164"/>
      <c r="H7" s="169"/>
      <c r="I7" s="251"/>
      <c r="J7" s="165"/>
      <c r="K7" s="168"/>
      <c r="L7" s="169"/>
      <c r="M7" s="170"/>
    </row>
    <row r="8" spans="2:13" ht="12.75">
      <c r="B8" s="838">
        <v>1995</v>
      </c>
      <c r="C8" s="337">
        <f aca="true" t="shared" si="0" ref="C8:C13">SUM(J8,G8,D8)</f>
        <v>13106.313096999998</v>
      </c>
      <c r="D8" s="338">
        <f aca="true" t="shared" si="1" ref="D8:D13">SUM(E8:F8)</f>
        <v>11079.863100999999</v>
      </c>
      <c r="E8" s="339">
        <v>10175.763371</v>
      </c>
      <c r="F8" s="340">
        <v>904.09973</v>
      </c>
      <c r="G8" s="341">
        <f aca="true" t="shared" si="2" ref="G8:G13">SUM(H8:I8)</f>
        <v>1347.006102</v>
      </c>
      <c r="H8" s="342">
        <v>1276.252185</v>
      </c>
      <c r="I8" s="343">
        <v>70.753917</v>
      </c>
      <c r="J8" s="344">
        <f aca="true" t="shared" si="3" ref="J8:J13">SUM(K8:M8)</f>
        <v>679.443894</v>
      </c>
      <c r="K8" s="339">
        <v>88.574773</v>
      </c>
      <c r="L8" s="342">
        <v>590.869121</v>
      </c>
      <c r="M8" s="345" t="s">
        <v>91</v>
      </c>
    </row>
    <row r="9" spans="2:13" ht="12.75">
      <c r="B9" s="825">
        <v>1996</v>
      </c>
      <c r="C9" s="241">
        <f t="shared" si="0"/>
        <v>13307.577021</v>
      </c>
      <c r="D9" s="172">
        <f t="shared" si="1"/>
        <v>11114.304966</v>
      </c>
      <c r="E9" s="192">
        <v>10542.563853</v>
      </c>
      <c r="F9" s="221">
        <v>571.741113</v>
      </c>
      <c r="G9" s="346">
        <f t="shared" si="2"/>
        <v>1571.1488599999998</v>
      </c>
      <c r="H9" s="194">
        <v>1235.1827439999997</v>
      </c>
      <c r="I9" s="347">
        <v>335.96611600000006</v>
      </c>
      <c r="J9" s="174">
        <f t="shared" si="3"/>
        <v>622.1231949999999</v>
      </c>
      <c r="K9" s="192">
        <v>70.17878</v>
      </c>
      <c r="L9" s="194">
        <v>551.534415</v>
      </c>
      <c r="M9" s="184">
        <v>0.41</v>
      </c>
    </row>
    <row r="10" spans="2:13" ht="12.75">
      <c r="B10" s="838">
        <v>1997</v>
      </c>
      <c r="C10" s="337">
        <f t="shared" si="0"/>
        <v>15348.556875999999</v>
      </c>
      <c r="D10" s="338">
        <f t="shared" si="1"/>
        <v>12278.077457</v>
      </c>
      <c r="E10" s="339">
        <v>10578.681579</v>
      </c>
      <c r="F10" s="340">
        <v>1699.3958780000003</v>
      </c>
      <c r="G10" s="341">
        <f t="shared" si="2"/>
        <v>2428.93273</v>
      </c>
      <c r="H10" s="342">
        <v>1573.605233</v>
      </c>
      <c r="I10" s="343">
        <v>855.327497</v>
      </c>
      <c r="J10" s="344">
        <f t="shared" si="3"/>
        <v>641.5466890000001</v>
      </c>
      <c r="K10" s="339">
        <v>112.50497800000001</v>
      </c>
      <c r="L10" s="342">
        <v>528.4860550000001</v>
      </c>
      <c r="M10" s="348">
        <v>0.5556559999999999</v>
      </c>
    </row>
    <row r="11" spans="2:13" ht="12.75">
      <c r="B11" s="825">
        <v>1998</v>
      </c>
      <c r="C11" s="241">
        <f t="shared" si="0"/>
        <v>16815.936847</v>
      </c>
      <c r="D11" s="172">
        <f t="shared" si="1"/>
        <v>13526.540201000002</v>
      </c>
      <c r="E11" s="192">
        <v>12262.133473000002</v>
      </c>
      <c r="F11" s="221">
        <v>1264.406728</v>
      </c>
      <c r="G11" s="346">
        <f t="shared" si="2"/>
        <v>2661.583983</v>
      </c>
      <c r="H11" s="194">
        <v>953.9010109999999</v>
      </c>
      <c r="I11" s="347">
        <v>1707.682972</v>
      </c>
      <c r="J11" s="174">
        <f t="shared" si="3"/>
        <v>627.8126629999998</v>
      </c>
      <c r="K11" s="192">
        <v>151.159293</v>
      </c>
      <c r="L11" s="194">
        <v>476.12692999999985</v>
      </c>
      <c r="M11" s="184">
        <v>0.52644</v>
      </c>
    </row>
    <row r="12" spans="2:13" ht="12.75">
      <c r="B12" s="838">
        <v>1999</v>
      </c>
      <c r="C12" s="337">
        <f t="shared" si="0"/>
        <v>17366.221878</v>
      </c>
      <c r="D12" s="338">
        <f t="shared" si="1"/>
        <v>13890.757992</v>
      </c>
      <c r="E12" s="339">
        <v>12909.594394000002</v>
      </c>
      <c r="F12" s="340">
        <v>981.163598</v>
      </c>
      <c r="G12" s="341">
        <f t="shared" si="2"/>
        <v>2868.648707</v>
      </c>
      <c r="H12" s="342">
        <v>1012.2640279999999</v>
      </c>
      <c r="I12" s="343">
        <v>1856.3846789999998</v>
      </c>
      <c r="J12" s="344">
        <f t="shared" si="3"/>
        <v>606.8151790000001</v>
      </c>
      <c r="K12" s="339">
        <v>188.733604</v>
      </c>
      <c r="L12" s="342">
        <v>417.456995</v>
      </c>
      <c r="M12" s="348">
        <v>0.62458</v>
      </c>
    </row>
    <row r="13" spans="2:13" ht="12.75">
      <c r="B13" s="825">
        <v>2000</v>
      </c>
      <c r="C13" s="241">
        <f t="shared" si="0"/>
        <v>18327.897719</v>
      </c>
      <c r="D13" s="172">
        <f t="shared" si="1"/>
        <v>14635.889038</v>
      </c>
      <c r="E13" s="192">
        <v>13908.207054999999</v>
      </c>
      <c r="F13" s="221">
        <v>727.681983</v>
      </c>
      <c r="G13" s="346">
        <f t="shared" si="2"/>
        <v>3091.922097</v>
      </c>
      <c r="H13" s="194">
        <v>1616.7179910000002</v>
      </c>
      <c r="I13" s="347">
        <v>1475.204106</v>
      </c>
      <c r="J13" s="174">
        <f t="shared" si="3"/>
        <v>600.0865839999999</v>
      </c>
      <c r="K13" s="192">
        <v>222.39821899999998</v>
      </c>
      <c r="L13" s="194">
        <v>376.84266499999995</v>
      </c>
      <c r="M13" s="184">
        <v>0.8457</v>
      </c>
    </row>
    <row r="14" spans="2:13" ht="12.75">
      <c r="B14" s="838"/>
      <c r="C14" s="1153"/>
      <c r="D14" s="1154"/>
      <c r="E14" s="1155"/>
      <c r="F14" s="1156"/>
      <c r="G14" s="1157"/>
      <c r="H14" s="1158"/>
      <c r="I14" s="1159"/>
      <c r="J14" s="1160"/>
      <c r="K14" s="1155"/>
      <c r="L14" s="1158"/>
      <c r="M14" s="1161"/>
    </row>
    <row r="15" spans="2:13" ht="12.75">
      <c r="B15" s="825"/>
      <c r="C15" s="243"/>
      <c r="D15" s="1580" t="s">
        <v>92</v>
      </c>
      <c r="E15" s="1581"/>
      <c r="F15" s="1581"/>
      <c r="G15" s="349"/>
      <c r="H15" s="190"/>
      <c r="I15" s="350"/>
      <c r="J15" s="189"/>
      <c r="K15" s="187"/>
      <c r="L15" s="190"/>
      <c r="M15" s="191"/>
    </row>
    <row r="16" spans="2:13" ht="12.75">
      <c r="B16" s="825">
        <v>2001</v>
      </c>
      <c r="C16" s="241">
        <f aca="true" t="shared" si="4" ref="C16:C22">SUM(J16,G16,D16)</f>
        <v>19214.506641999997</v>
      </c>
      <c r="D16" s="172">
        <f aca="true" t="shared" si="5" ref="D16:D22">SUM(E16:F16)</f>
        <v>18630.491470999998</v>
      </c>
      <c r="E16" s="192">
        <v>16964.279180999998</v>
      </c>
      <c r="F16" s="246">
        <v>1666.2122900000002</v>
      </c>
      <c r="G16" s="346"/>
      <c r="H16" s="194"/>
      <c r="I16" s="347"/>
      <c r="J16" s="174">
        <f aca="true" t="shared" si="6" ref="J16:J22">SUM(K16:M16)</f>
        <v>584.015171</v>
      </c>
      <c r="K16" s="192">
        <v>224.05159300000005</v>
      </c>
      <c r="L16" s="194">
        <v>358.737178</v>
      </c>
      <c r="M16" s="184">
        <v>1.2264000000000002</v>
      </c>
    </row>
    <row r="17" spans="2:13" ht="12.75">
      <c r="B17" s="838">
        <v>2002</v>
      </c>
      <c r="C17" s="337">
        <f t="shared" si="4"/>
        <v>20419.508673000004</v>
      </c>
      <c r="D17" s="338">
        <f t="shared" si="5"/>
        <v>19906.120506000003</v>
      </c>
      <c r="E17" s="339">
        <v>17459.157646000003</v>
      </c>
      <c r="F17" s="340">
        <v>2446.96286</v>
      </c>
      <c r="G17" s="341"/>
      <c r="H17" s="342"/>
      <c r="I17" s="343"/>
      <c r="J17" s="344">
        <f t="shared" si="6"/>
        <v>513.3881670000001</v>
      </c>
      <c r="K17" s="339">
        <v>179.00059199999993</v>
      </c>
      <c r="L17" s="342">
        <v>333.1611750000002</v>
      </c>
      <c r="M17" s="348">
        <v>1.2264000000000002</v>
      </c>
    </row>
    <row r="18" spans="2:13" ht="12.75">
      <c r="B18" s="825">
        <v>2003</v>
      </c>
      <c r="C18" s="241">
        <f t="shared" si="4"/>
        <v>21361.462929999994</v>
      </c>
      <c r="D18" s="172">
        <f t="shared" si="5"/>
        <v>20890.822373999996</v>
      </c>
      <c r="E18" s="192">
        <v>17926.933372999996</v>
      </c>
      <c r="F18" s="221">
        <v>2963.8890009999996</v>
      </c>
      <c r="G18" s="346"/>
      <c r="H18" s="194"/>
      <c r="I18" s="347"/>
      <c r="J18" s="174">
        <f t="shared" si="6"/>
        <v>470.6405560000003</v>
      </c>
      <c r="K18" s="192">
        <v>191.39976499999997</v>
      </c>
      <c r="L18" s="194">
        <v>278.01439100000033</v>
      </c>
      <c r="M18" s="184">
        <v>1.2264000000000002</v>
      </c>
    </row>
    <row r="19" spans="2:13" ht="12.75">
      <c r="B19" s="838">
        <v>2004</v>
      </c>
      <c r="C19" s="337">
        <f t="shared" si="4"/>
        <v>22619.938791000004</v>
      </c>
      <c r="D19" s="338">
        <f t="shared" si="5"/>
        <v>22091.989912000005</v>
      </c>
      <c r="E19" s="339">
        <f>16896.304036-21.92833</f>
        <v>16874.375706000003</v>
      </c>
      <c r="F19" s="340">
        <v>5217.614206000001</v>
      </c>
      <c r="G19" s="341"/>
      <c r="H19" s="342"/>
      <c r="I19" s="343"/>
      <c r="J19" s="344">
        <f t="shared" si="6"/>
        <v>527.948879</v>
      </c>
      <c r="K19" s="339">
        <f>226.288927</f>
        <v>226.288927</v>
      </c>
      <c r="L19" s="342">
        <v>300.43355199999996</v>
      </c>
      <c r="M19" s="348">
        <v>1.2264000000000002</v>
      </c>
    </row>
    <row r="20" spans="2:13" ht="12.75">
      <c r="B20" s="825">
        <v>2005</v>
      </c>
      <c r="C20" s="241">
        <f t="shared" si="4"/>
        <v>23810.874944792748</v>
      </c>
      <c r="D20" s="172">
        <f t="shared" si="5"/>
        <v>23233.47960679275</v>
      </c>
      <c r="E20" s="192">
        <v>17322.59598779275</v>
      </c>
      <c r="F20" s="221">
        <v>5910.883619</v>
      </c>
      <c r="G20" s="346"/>
      <c r="H20" s="194"/>
      <c r="I20" s="347"/>
      <c r="J20" s="174">
        <f t="shared" si="6"/>
        <v>577.395338</v>
      </c>
      <c r="K20" s="192">
        <v>244.50939000000002</v>
      </c>
      <c r="L20" s="194">
        <v>331.659548</v>
      </c>
      <c r="M20" s="184">
        <v>1.2264000000000002</v>
      </c>
    </row>
    <row r="21" spans="2:13" ht="12.75">
      <c r="B21" s="838">
        <v>2006</v>
      </c>
      <c r="C21" s="337">
        <f>SUM(J21,G21,D21)</f>
        <v>25613.763789958582</v>
      </c>
      <c r="D21" s="338">
        <f>SUM(E21:F21)</f>
        <v>25037.083984958583</v>
      </c>
      <c r="E21" s="339">
        <v>18931.704642958583</v>
      </c>
      <c r="F21" s="340">
        <v>6105.379342000001</v>
      </c>
      <c r="G21" s="341"/>
      <c r="H21" s="342"/>
      <c r="I21" s="343"/>
      <c r="J21" s="344">
        <f>SUM(K21:M21)</f>
        <v>576.679805</v>
      </c>
      <c r="K21" s="339">
        <v>229.04699999999997</v>
      </c>
      <c r="L21" s="342">
        <v>346.40640499999995</v>
      </c>
      <c r="M21" s="348">
        <v>1.2264000000000002</v>
      </c>
    </row>
    <row r="22" spans="2:13" ht="12.75">
      <c r="B22" s="825">
        <v>2007</v>
      </c>
      <c r="C22" s="241">
        <f t="shared" si="4"/>
        <v>28200.49109034</v>
      </c>
      <c r="D22" s="172">
        <f t="shared" si="5"/>
        <v>27593.789342340002</v>
      </c>
      <c r="E22" s="192">
        <v>18872.24222534</v>
      </c>
      <c r="F22" s="221">
        <v>8721.547117</v>
      </c>
      <c r="G22" s="346"/>
      <c r="H22" s="194"/>
      <c r="I22" s="347"/>
      <c r="J22" s="174">
        <f t="shared" si="6"/>
        <v>606.7017480000001</v>
      </c>
      <c r="K22" s="192">
        <v>234.95174099999997</v>
      </c>
      <c r="L22" s="194">
        <v>370.5236070000001</v>
      </c>
      <c r="M22" s="184">
        <v>1.2264000000000002</v>
      </c>
    </row>
    <row r="23" spans="2:13" ht="12.75">
      <c r="B23" s="838">
        <v>2008</v>
      </c>
      <c r="C23" s="337">
        <f>SUM(J23,G23,D23)</f>
        <v>30574.711256</v>
      </c>
      <c r="D23" s="338">
        <f>SUM(E23:F23)</f>
        <v>29905.853191</v>
      </c>
      <c r="E23" s="339">
        <v>18352.597029999997</v>
      </c>
      <c r="F23" s="340">
        <v>11553.256161000001</v>
      </c>
      <c r="G23" s="341"/>
      <c r="H23" s="342"/>
      <c r="I23" s="343"/>
      <c r="J23" s="344">
        <f>SUM(K23:M23)</f>
        <v>668.8580649999999</v>
      </c>
      <c r="K23" s="339">
        <v>255.19507699999997</v>
      </c>
      <c r="L23" s="342">
        <v>412.436588</v>
      </c>
      <c r="M23" s="348">
        <v>1.2264000000000004</v>
      </c>
    </row>
    <row r="24" spans="2:13" ht="12.75">
      <c r="B24" s="825">
        <v>2009</v>
      </c>
      <c r="C24" s="241">
        <f>SUM(J24,G24,D24)</f>
        <v>30921.902783</v>
      </c>
      <c r="D24" s="172">
        <f>SUM(E24:F24)</f>
        <v>30289.076649000002</v>
      </c>
      <c r="E24" s="351">
        <v>19193.203896000003</v>
      </c>
      <c r="F24" s="221">
        <v>11095.872753</v>
      </c>
      <c r="G24" s="346"/>
      <c r="H24" s="194"/>
      <c r="I24" s="347"/>
      <c r="J24" s="174">
        <f>SUM(K24:M24)</f>
        <v>632.826134</v>
      </c>
      <c r="K24" s="192">
        <v>226.017716</v>
      </c>
      <c r="L24" s="194">
        <v>405.582018</v>
      </c>
      <c r="M24" s="184">
        <v>1.2264000000000002</v>
      </c>
    </row>
    <row r="25" spans="2:13" ht="12.75">
      <c r="B25" s="838">
        <v>2010</v>
      </c>
      <c r="C25" s="337">
        <f>SUM(J25,G25,D25)</f>
        <v>33545.8158072</v>
      </c>
      <c r="D25" s="338">
        <f>SUM(E25:F25)</f>
        <v>33073.914225</v>
      </c>
      <c r="E25" s="352">
        <v>19402.767739</v>
      </c>
      <c r="F25" s="340">
        <v>13671.146485999998</v>
      </c>
      <c r="G25" s="341"/>
      <c r="H25" s="342"/>
      <c r="I25" s="343"/>
      <c r="J25" s="344">
        <f>SUM(K25:M25)</f>
        <v>471.9015822</v>
      </c>
      <c r="K25" s="339">
        <v>164.6368702</v>
      </c>
      <c r="L25" s="342">
        <v>306.03831199999996</v>
      </c>
      <c r="M25" s="348">
        <v>1.2264000000000002</v>
      </c>
    </row>
    <row r="26" spans="2:13" ht="12.75">
      <c r="B26" s="839">
        <v>2011</v>
      </c>
      <c r="C26" s="241">
        <f>SUM(J26,G26,D26)</f>
        <v>36243.19204565196</v>
      </c>
      <c r="D26" s="172">
        <f>SUM(E26:F26)</f>
        <v>35763.995085062896</v>
      </c>
      <c r="E26" s="351">
        <v>20842.1071667345</v>
      </c>
      <c r="F26" s="221">
        <v>14921.8879183284</v>
      </c>
      <c r="G26" s="346"/>
      <c r="H26" s="194"/>
      <c r="I26" s="347"/>
      <c r="J26" s="174">
        <f>SUM(K26:M26)</f>
        <v>479.196960589059</v>
      </c>
      <c r="K26" s="192">
        <v>180.340392749059</v>
      </c>
      <c r="L26" s="194">
        <v>297.63016784</v>
      </c>
      <c r="M26" s="184">
        <v>1.2264000000000002</v>
      </c>
    </row>
    <row r="27" spans="2:13" ht="13.5" thickBot="1">
      <c r="B27" s="319"/>
      <c r="C27" s="337"/>
      <c r="D27" s="338"/>
      <c r="E27" s="352"/>
      <c r="F27" s="340"/>
      <c r="G27" s="341"/>
      <c r="H27" s="342"/>
      <c r="I27" s="343"/>
      <c r="J27" s="344"/>
      <c r="K27" s="339"/>
      <c r="L27" s="342"/>
      <c r="M27" s="348"/>
    </row>
    <row r="28" spans="2:13" ht="12.75">
      <c r="B28" s="794" t="s">
        <v>167</v>
      </c>
      <c r="C28" s="1363">
        <f>(C26/C25)-1</f>
        <v>0.08040872381684672</v>
      </c>
      <c r="D28" s="1364">
        <f>(D26/D25)-1</f>
        <v>0.08133542470245358</v>
      </c>
      <c r="E28" s="1365">
        <f>(E26/E25)-1</f>
        <v>0.07418217066225008</v>
      </c>
      <c r="F28" s="1366">
        <f>(F26/F25)-1</f>
        <v>0.09148767688278592</v>
      </c>
      <c r="G28" s="251"/>
      <c r="H28" s="1367"/>
      <c r="I28" s="1368"/>
      <c r="J28" s="1369">
        <f>(J26/J25)-1</f>
        <v>0.015459533649046175</v>
      </c>
      <c r="K28" s="1370">
        <f>(K26/K25)-1</f>
        <v>0.09538278108653575</v>
      </c>
      <c r="L28" s="1371">
        <f>(L26/L25)-1</f>
        <v>-0.027474155458026228</v>
      </c>
      <c r="M28" s="1372"/>
    </row>
    <row r="29" spans="2:13" ht="21" customHeight="1">
      <c r="B29" s="819" t="s">
        <v>171</v>
      </c>
      <c r="C29" s="1373">
        <f>((C26/C21)^(1/5))-1</f>
        <v>0.07189095950474145</v>
      </c>
      <c r="D29" s="1374">
        <f>((D26/D21)^(1/5))-1</f>
        <v>0.07392129969901928</v>
      </c>
      <c r="E29" s="1375">
        <f>((E26/E21)^(1/5))-1</f>
        <v>0.019413500579013254</v>
      </c>
      <c r="F29" s="1376">
        <f>((F26/F21)^(1/5))-1</f>
        <v>0.19569998594348958</v>
      </c>
      <c r="G29" s="164"/>
      <c r="H29" s="252"/>
      <c r="I29" s="1377"/>
      <c r="J29" s="1378">
        <f>((J26/J21)^(1/5))-1</f>
        <v>-0.03635768479131107</v>
      </c>
      <c r="K29" s="1375">
        <f>((K26/K21)^(1/5))-1</f>
        <v>-0.04669102737654662</v>
      </c>
      <c r="L29" s="1376">
        <f>((L26/L21)^(1/5))-1</f>
        <v>-0.02989619688549372</v>
      </c>
      <c r="M29" s="1379"/>
    </row>
    <row r="30" spans="2:13" ht="21" customHeight="1">
      <c r="B30" s="795" t="s">
        <v>169</v>
      </c>
      <c r="C30" s="1317">
        <f>(C26/C13)-1</f>
        <v>0.9774876857851347</v>
      </c>
      <c r="D30" s="1380">
        <f>(D26/(D13+G13))-1</f>
        <v>1.0173948612558306</v>
      </c>
      <c r="E30" s="1381">
        <f>(E26/(E13+H13))-1</f>
        <v>0.3424932555216731</v>
      </c>
      <c r="F30" s="1382">
        <f>(F26/(F13+I13))-1</f>
        <v>5.77379007150669</v>
      </c>
      <c r="G30" s="164"/>
      <c r="H30" s="1383"/>
      <c r="I30" s="1377"/>
      <c r="J30" s="1384">
        <f>(J26/J13)-1</f>
        <v>-0.20145363458240706</v>
      </c>
      <c r="K30" s="1381">
        <f>(K26/K13)-1</f>
        <v>-0.18911044539858024</v>
      </c>
      <c r="L30" s="1381">
        <f>(L26/L13)-1</f>
        <v>-0.21020044840198748</v>
      </c>
      <c r="M30" s="1379"/>
    </row>
    <row r="31" spans="2:13" ht="21" customHeight="1" thickBot="1">
      <c r="B31" s="820" t="s">
        <v>170</v>
      </c>
      <c r="C31" s="1385">
        <f>((C26/C13)^(1/11))-1</f>
        <v>0.06394563034722167</v>
      </c>
      <c r="D31" s="1386">
        <f>((D26/(D13+G13))^(1/11))-1</f>
        <v>0.06587988051163451</v>
      </c>
      <c r="E31" s="1387">
        <f>((E26/(E13+H13))^(1/11))-1</f>
        <v>0.02713700002814412</v>
      </c>
      <c r="F31" s="1388">
        <f>((F26/(F13+I13))^(1/11))-1</f>
        <v>0.1899539571108626</v>
      </c>
      <c r="G31" s="1379"/>
      <c r="H31" s="1383"/>
      <c r="I31" s="1377"/>
      <c r="J31" s="1389">
        <f>((J26/J13)^(1/11))-1</f>
        <v>-0.02024340772472577</v>
      </c>
      <c r="K31" s="1387">
        <f>((K26/K13)^(1/11))-1</f>
        <v>-0.018876243929169978</v>
      </c>
      <c r="L31" s="1388">
        <f>((L26/L13)^(1/11))-1</f>
        <v>-0.02122390701558763</v>
      </c>
      <c r="M31" s="1379"/>
    </row>
    <row r="32" spans="2:25" ht="12.75">
      <c r="B32" t="s">
        <v>178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2:25" ht="12.75">
      <c r="B33" s="110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2:25" ht="12.75">
      <c r="B34" s="34"/>
      <c r="H34" s="105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8:25" ht="12.75">
      <c r="H35" s="105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6:25" ht="12.75">
      <c r="P36" s="24"/>
      <c r="Q36" s="278"/>
      <c r="R36" s="278"/>
      <c r="S36" s="24"/>
      <c r="T36" s="24"/>
      <c r="U36" s="24"/>
      <c r="V36" s="24"/>
      <c r="W36" s="278"/>
      <c r="X36" s="278"/>
      <c r="Y36" s="24"/>
    </row>
    <row r="37" spans="2:25" ht="12.75">
      <c r="B37" s="110"/>
      <c r="P37" s="24"/>
      <c r="Q37" s="1390"/>
      <c r="R37" s="1391"/>
      <c r="S37" s="24"/>
      <c r="T37" s="24"/>
      <c r="U37" s="24"/>
      <c r="V37" s="24"/>
      <c r="W37" s="1391"/>
      <c r="X37" s="1391"/>
      <c r="Y37" s="24"/>
    </row>
    <row r="38" spans="2:25" ht="12.75">
      <c r="B38" s="110"/>
      <c r="N38" s="110"/>
      <c r="P38" s="24"/>
      <c r="Q38" s="1390"/>
      <c r="R38" s="1390"/>
      <c r="S38" s="24"/>
      <c r="T38" s="24"/>
      <c r="U38" s="24"/>
      <c r="V38" s="24"/>
      <c r="W38" s="1391"/>
      <c r="X38" s="1391"/>
      <c r="Y38" s="24"/>
    </row>
    <row r="39" spans="2:25" ht="12.75">
      <c r="B39" s="110"/>
      <c r="E39" s="13"/>
      <c r="F39" s="13"/>
      <c r="G39" s="13"/>
      <c r="N39" s="110"/>
      <c r="P39" s="1392"/>
      <c r="Q39" s="1392"/>
      <c r="R39" s="1392"/>
      <c r="S39" s="24"/>
      <c r="T39" s="24"/>
      <c r="U39" s="24"/>
      <c r="V39" s="1392"/>
      <c r="W39" s="1392"/>
      <c r="X39" s="1392"/>
      <c r="Y39" s="24"/>
    </row>
    <row r="40" spans="2:25" ht="12.75">
      <c r="B40" s="110"/>
      <c r="D40" s="1393"/>
      <c r="E40" s="1394"/>
      <c r="F40" s="1394"/>
      <c r="H40" s="1394"/>
      <c r="I40" s="1394"/>
      <c r="J40" s="1395"/>
      <c r="K40" s="1394"/>
      <c r="L40" s="1394"/>
      <c r="N40" s="110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2:25" ht="12.75">
      <c r="B41" s="34"/>
      <c r="N41" s="110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2:25" ht="15.75">
      <c r="B42" s="88" t="s">
        <v>94</v>
      </c>
      <c r="N42" s="110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2:25" ht="12.75">
      <c r="B43" s="79"/>
      <c r="N43" s="110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2:25" ht="13.5" thickBot="1">
      <c r="B44" s="79"/>
      <c r="N44" s="110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2:25" ht="15">
      <c r="B45" s="157" t="s">
        <v>47</v>
      </c>
      <c r="C45" s="209" t="s">
        <v>64</v>
      </c>
      <c r="D45" s="1553" t="s">
        <v>74</v>
      </c>
      <c r="E45" s="1554"/>
      <c r="F45" s="1555"/>
      <c r="G45" s="1553" t="s">
        <v>81</v>
      </c>
      <c r="H45" s="1554"/>
      <c r="I45" s="1555"/>
      <c r="J45" s="1559" t="s">
        <v>73</v>
      </c>
      <c r="K45" s="1560"/>
      <c r="L45" s="1561"/>
      <c r="N45" s="110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2:25" ht="13.5" thickBot="1">
      <c r="B46" s="159"/>
      <c r="C46" s="163"/>
      <c r="D46" s="210" t="s">
        <v>68</v>
      </c>
      <c r="E46" s="211" t="s">
        <v>69</v>
      </c>
      <c r="F46" s="210" t="s">
        <v>70</v>
      </c>
      <c r="G46" s="210" t="s">
        <v>68</v>
      </c>
      <c r="H46" s="210" t="s">
        <v>69</v>
      </c>
      <c r="I46" s="210" t="s">
        <v>70</v>
      </c>
      <c r="J46" s="210" t="s">
        <v>68</v>
      </c>
      <c r="K46" s="210" t="s">
        <v>69</v>
      </c>
      <c r="L46" s="232" t="s">
        <v>70</v>
      </c>
      <c r="N46" s="110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2:14" ht="12.75">
      <c r="B47" s="355"/>
      <c r="C47" s="234"/>
      <c r="D47" s="166"/>
      <c r="E47" s="167"/>
      <c r="F47" s="167"/>
      <c r="G47" s="165"/>
      <c r="H47" s="168"/>
      <c r="I47" s="168"/>
      <c r="J47" s="165"/>
      <c r="K47" s="168"/>
      <c r="L47" s="212"/>
      <c r="N47" s="110"/>
    </row>
    <row r="48" spans="2:14" ht="12.75">
      <c r="B48" s="838">
        <v>1995</v>
      </c>
      <c r="C48" s="337">
        <f aca="true" t="shared" si="7" ref="C48:C53">SUM(J48,G48,D48)</f>
        <v>3773.801504</v>
      </c>
      <c r="D48" s="338">
        <f aca="true" t="shared" si="8" ref="D48:D53">SUM(E48:F48)</f>
        <v>1270.529284</v>
      </c>
      <c r="E48" s="339">
        <v>1027.315891</v>
      </c>
      <c r="F48" s="339">
        <v>243.213393</v>
      </c>
      <c r="G48" s="344">
        <f aca="true" t="shared" si="9" ref="G48:G53">SUM(H48:I48)</f>
        <v>877.152211</v>
      </c>
      <c r="H48" s="339">
        <v>0</v>
      </c>
      <c r="I48" s="339">
        <v>877.152211</v>
      </c>
      <c r="J48" s="344">
        <f aca="true" t="shared" si="10" ref="J48:J53">SUM(K48:M48)</f>
        <v>1626.1200090000002</v>
      </c>
      <c r="K48" s="339">
        <v>369.647241</v>
      </c>
      <c r="L48" s="340">
        <v>1256.472768</v>
      </c>
      <c r="N48" s="110"/>
    </row>
    <row r="49" spans="2:14" ht="12.75">
      <c r="B49" s="825">
        <v>1996</v>
      </c>
      <c r="C49" s="241">
        <f t="shared" si="7"/>
        <v>3972.235272</v>
      </c>
      <c r="D49" s="172">
        <f t="shared" si="8"/>
        <v>1430.1662900000001</v>
      </c>
      <c r="E49" s="192">
        <v>1099.01267</v>
      </c>
      <c r="F49" s="192">
        <v>331.15362</v>
      </c>
      <c r="G49" s="174">
        <f t="shared" si="9"/>
        <v>940.081709</v>
      </c>
      <c r="H49" s="192">
        <v>0</v>
      </c>
      <c r="I49" s="192">
        <v>940.081709</v>
      </c>
      <c r="J49" s="174">
        <f t="shared" si="10"/>
        <v>1601.987273</v>
      </c>
      <c r="K49" s="192">
        <v>376.634031</v>
      </c>
      <c r="L49" s="221">
        <v>1225.353242</v>
      </c>
      <c r="N49" s="110"/>
    </row>
    <row r="50" spans="2:14" ht="12.75">
      <c r="B50" s="838">
        <v>1997</v>
      </c>
      <c r="C50" s="337">
        <f t="shared" si="7"/>
        <v>2604.8506989999996</v>
      </c>
      <c r="D50" s="338">
        <f t="shared" si="8"/>
        <v>843.991143</v>
      </c>
      <c r="E50" s="339">
        <v>569.31737</v>
      </c>
      <c r="F50" s="339">
        <v>274.673773</v>
      </c>
      <c r="G50" s="344">
        <f t="shared" si="9"/>
        <v>293.175553</v>
      </c>
      <c r="H50" s="339">
        <v>0</v>
      </c>
      <c r="I50" s="339">
        <v>293.175553</v>
      </c>
      <c r="J50" s="344">
        <f t="shared" si="10"/>
        <v>1467.6840029999998</v>
      </c>
      <c r="K50" s="339">
        <v>380.420322</v>
      </c>
      <c r="L50" s="340">
        <v>1087.263681</v>
      </c>
      <c r="N50" s="110"/>
    </row>
    <row r="51" spans="2:14" ht="12.75">
      <c r="B51" s="825">
        <v>1998</v>
      </c>
      <c r="C51" s="241">
        <f t="shared" si="7"/>
        <v>1766.601999</v>
      </c>
      <c r="D51" s="172">
        <f t="shared" si="8"/>
        <v>197.56012199999998</v>
      </c>
      <c r="E51" s="192">
        <v>74.993201</v>
      </c>
      <c r="F51" s="192">
        <v>122.566921</v>
      </c>
      <c r="G51" s="174">
        <f t="shared" si="9"/>
        <v>41.555376</v>
      </c>
      <c r="H51" s="192">
        <v>0</v>
      </c>
      <c r="I51" s="192">
        <v>41.555376</v>
      </c>
      <c r="J51" s="174">
        <f t="shared" si="10"/>
        <v>1527.486501</v>
      </c>
      <c r="K51" s="192">
        <v>366.09816</v>
      </c>
      <c r="L51" s="221">
        <v>1161.388341</v>
      </c>
      <c r="N51" s="110"/>
    </row>
    <row r="52" spans="2:14" ht="12.75">
      <c r="B52" s="838">
        <v>1999</v>
      </c>
      <c r="C52" s="337">
        <f t="shared" si="7"/>
        <v>1683.395519</v>
      </c>
      <c r="D52" s="338">
        <f t="shared" si="8"/>
        <v>125.634122</v>
      </c>
      <c r="E52" s="339">
        <v>87.286845</v>
      </c>
      <c r="F52" s="339">
        <v>38.347277000000005</v>
      </c>
      <c r="G52" s="344">
        <f t="shared" si="9"/>
        <v>67.49939600000002</v>
      </c>
      <c r="H52" s="339">
        <v>0</v>
      </c>
      <c r="I52" s="339">
        <v>67.49939600000002</v>
      </c>
      <c r="J52" s="344">
        <f t="shared" si="10"/>
        <v>1490.262001</v>
      </c>
      <c r="K52" s="339">
        <v>342.70241400000003</v>
      </c>
      <c r="L52" s="340">
        <v>1147.559587</v>
      </c>
      <c r="N52" s="110"/>
    </row>
    <row r="53" spans="2:14" ht="12.75">
      <c r="B53" s="825">
        <v>2000</v>
      </c>
      <c r="C53" s="241">
        <f t="shared" si="7"/>
        <v>1594.7996189999992</v>
      </c>
      <c r="D53" s="172">
        <f t="shared" si="8"/>
        <v>118.63759300000001</v>
      </c>
      <c r="E53" s="192">
        <v>83.763085</v>
      </c>
      <c r="F53" s="192">
        <v>34.874508</v>
      </c>
      <c r="G53" s="174">
        <f t="shared" si="9"/>
        <v>24.489265</v>
      </c>
      <c r="H53" s="192">
        <v>0</v>
      </c>
      <c r="I53" s="192">
        <v>24.489265</v>
      </c>
      <c r="J53" s="174">
        <f t="shared" si="10"/>
        <v>1451.6727609999994</v>
      </c>
      <c r="K53" s="192">
        <v>344.965016</v>
      </c>
      <c r="L53" s="221">
        <v>1106.7077449999995</v>
      </c>
      <c r="N53" s="110"/>
    </row>
    <row r="54" spans="2:14" ht="12.75">
      <c r="B54" s="825"/>
      <c r="C54" s="243"/>
      <c r="D54" s="186"/>
      <c r="E54" s="187"/>
      <c r="F54" s="188"/>
      <c r="G54" s="189"/>
      <c r="H54" s="187"/>
      <c r="I54" s="187"/>
      <c r="J54" s="189"/>
      <c r="K54" s="187"/>
      <c r="L54" s="219"/>
      <c r="N54" s="110"/>
    </row>
    <row r="55" spans="2:14" ht="12.75">
      <c r="B55" s="825"/>
      <c r="C55" s="243"/>
      <c r="D55" s="1580" t="s">
        <v>92</v>
      </c>
      <c r="E55" s="1581"/>
      <c r="F55" s="1581"/>
      <c r="G55" s="189"/>
      <c r="H55" s="187"/>
      <c r="I55" s="187"/>
      <c r="J55" s="189"/>
      <c r="K55" s="187"/>
      <c r="L55" s="219"/>
      <c r="N55" s="110"/>
    </row>
    <row r="56" spans="2:14" ht="12.75">
      <c r="B56" s="825">
        <v>2001</v>
      </c>
      <c r="C56" s="241">
        <f aca="true" t="shared" si="11" ref="C56:C62">SUM(J56,G56,D56)</f>
        <v>1571.2188929999995</v>
      </c>
      <c r="D56" s="172">
        <f aca="true" t="shared" si="12" ref="D56:D62">SUM(E56:F56)</f>
        <v>124.09112300000001</v>
      </c>
      <c r="E56" s="192">
        <v>84.443455</v>
      </c>
      <c r="F56" s="193">
        <v>39.647668</v>
      </c>
      <c r="G56" s="174"/>
      <c r="H56" s="192"/>
      <c r="I56" s="192"/>
      <c r="J56" s="174">
        <f aca="true" t="shared" si="13" ref="J56:J62">SUM(K56:M56)</f>
        <v>1447.1277699999996</v>
      </c>
      <c r="K56" s="192">
        <v>341.985971</v>
      </c>
      <c r="L56" s="221">
        <v>1105.1417989999995</v>
      </c>
      <c r="N56" s="110"/>
    </row>
    <row r="57" spans="2:14" ht="12.75">
      <c r="B57" s="838">
        <v>2002</v>
      </c>
      <c r="C57" s="337">
        <f t="shared" si="11"/>
        <v>1562.8144990000035</v>
      </c>
      <c r="D57" s="338">
        <f t="shared" si="12"/>
        <v>111.761041</v>
      </c>
      <c r="E57" s="339">
        <v>79.7328</v>
      </c>
      <c r="F57" s="339">
        <v>32.028241</v>
      </c>
      <c r="G57" s="344"/>
      <c r="H57" s="339"/>
      <c r="I57" s="339"/>
      <c r="J57" s="344">
        <f t="shared" si="13"/>
        <v>1451.0534580000035</v>
      </c>
      <c r="K57" s="339">
        <v>322.2368770000001</v>
      </c>
      <c r="L57" s="340">
        <v>1128.8165810000035</v>
      </c>
      <c r="N57" s="110"/>
    </row>
    <row r="58" spans="2:14" ht="12.75">
      <c r="B58" s="825">
        <v>2003</v>
      </c>
      <c r="C58" s="241">
        <f t="shared" si="11"/>
        <v>1561.8909440000034</v>
      </c>
      <c r="D58" s="172">
        <f t="shared" si="12"/>
        <v>107.96116799999999</v>
      </c>
      <c r="E58" s="192">
        <v>84.23522</v>
      </c>
      <c r="F58" s="192">
        <v>23.725947999999992</v>
      </c>
      <c r="G58" s="174"/>
      <c r="H58" s="192"/>
      <c r="I58" s="192"/>
      <c r="J58" s="174">
        <f t="shared" si="13"/>
        <v>1453.9297760000034</v>
      </c>
      <c r="K58" s="192">
        <v>331.152503</v>
      </c>
      <c r="L58" s="221">
        <v>1122.7772730000033</v>
      </c>
      <c r="N58" s="110"/>
    </row>
    <row r="59" spans="2:14" ht="12.75">
      <c r="B59" s="838">
        <v>2004</v>
      </c>
      <c r="C59" s="337">
        <f t="shared" si="11"/>
        <v>1647.07328</v>
      </c>
      <c r="D59" s="338">
        <f t="shared" si="12"/>
        <v>195.99345399999999</v>
      </c>
      <c r="E59" s="339">
        <f>83.166636+21.92833</f>
        <v>105.094966</v>
      </c>
      <c r="F59" s="339">
        <v>90.89848799999999</v>
      </c>
      <c r="G59" s="344"/>
      <c r="H59" s="339"/>
      <c r="I59" s="339"/>
      <c r="J59" s="344">
        <f t="shared" si="13"/>
        <v>1451.0798260000001</v>
      </c>
      <c r="K59" s="339">
        <v>319.579362</v>
      </c>
      <c r="L59" s="340">
        <v>1131.5004640000002</v>
      </c>
      <c r="N59" s="110"/>
    </row>
    <row r="60" spans="2:14" ht="12.75">
      <c r="B60" s="825">
        <v>2005</v>
      </c>
      <c r="C60" s="241">
        <f t="shared" si="11"/>
        <v>1698.861870207253</v>
      </c>
      <c r="D60" s="172">
        <f t="shared" si="12"/>
        <v>200.13015520724974</v>
      </c>
      <c r="E60" s="192">
        <v>98.79022620724976</v>
      </c>
      <c r="F60" s="192">
        <v>101.33992899999998</v>
      </c>
      <c r="G60" s="174"/>
      <c r="H60" s="192"/>
      <c r="I60" s="192"/>
      <c r="J60" s="174">
        <f t="shared" si="13"/>
        <v>1498.7317150000033</v>
      </c>
      <c r="K60" s="192">
        <v>311.097732</v>
      </c>
      <c r="L60" s="221">
        <v>1187.6339830000034</v>
      </c>
      <c r="N60" s="110"/>
    </row>
    <row r="61" spans="2:14" ht="12.75">
      <c r="B61" s="838">
        <v>2006</v>
      </c>
      <c r="C61" s="337">
        <f>SUM(J61,G61,D61)</f>
        <v>1756.064937621414</v>
      </c>
      <c r="D61" s="338">
        <f>SUM(E61:F61)</f>
        <v>220.09659204141394</v>
      </c>
      <c r="E61" s="339">
        <v>111.35824504141392</v>
      </c>
      <c r="F61" s="339">
        <v>108.738347</v>
      </c>
      <c r="G61" s="344"/>
      <c r="H61" s="339"/>
      <c r="I61" s="339"/>
      <c r="J61" s="344">
        <f>SUM(K61:M61)</f>
        <v>1535.96834558</v>
      </c>
      <c r="K61" s="339">
        <v>322.23727599999995</v>
      </c>
      <c r="L61" s="340">
        <v>1213.7310695800002</v>
      </c>
      <c r="N61" s="110"/>
    </row>
    <row r="62" spans="2:14" ht="12.75">
      <c r="B62" s="825">
        <v>2007</v>
      </c>
      <c r="C62" s="241">
        <f t="shared" si="11"/>
        <v>1742.5560516600003</v>
      </c>
      <c r="D62" s="172">
        <f t="shared" si="12"/>
        <v>212.42324065999998</v>
      </c>
      <c r="E62" s="192">
        <v>99.21909766</v>
      </c>
      <c r="F62" s="192">
        <v>113.20414299999999</v>
      </c>
      <c r="G62" s="174"/>
      <c r="H62" s="192"/>
      <c r="I62" s="192"/>
      <c r="J62" s="174">
        <f t="shared" si="13"/>
        <v>1530.1328110000004</v>
      </c>
      <c r="K62" s="192">
        <v>342.368956</v>
      </c>
      <c r="L62" s="221">
        <v>1187.7638550000004</v>
      </c>
      <c r="N62" s="110"/>
    </row>
    <row r="63" spans="2:14" ht="12.75">
      <c r="B63" s="838">
        <v>2008</v>
      </c>
      <c r="C63" s="337">
        <f>SUM(J63,G63,D63)</f>
        <v>1888.395027</v>
      </c>
      <c r="D63" s="338">
        <f>SUM(E63:F63)</f>
        <v>197.742251</v>
      </c>
      <c r="E63" s="339">
        <v>79.992671</v>
      </c>
      <c r="F63" s="339">
        <v>117.74958000000001</v>
      </c>
      <c r="G63" s="344"/>
      <c r="H63" s="339"/>
      <c r="I63" s="339"/>
      <c r="J63" s="344">
        <f>SUM(K63:M63)</f>
        <v>1690.652776</v>
      </c>
      <c r="K63" s="339">
        <v>371.83297100000004</v>
      </c>
      <c r="L63" s="340">
        <v>1318.8198049999999</v>
      </c>
      <c r="N63" s="110"/>
    </row>
    <row r="64" spans="2:14" ht="12.75">
      <c r="B64" s="825">
        <v>2009</v>
      </c>
      <c r="C64" s="241">
        <f>SUM(J64,G64,D64)</f>
        <v>2022.8330380000002</v>
      </c>
      <c r="D64" s="172">
        <f>SUM(E64:F64)</f>
        <v>203.990048</v>
      </c>
      <c r="E64" s="192">
        <v>84.083056</v>
      </c>
      <c r="F64" s="192">
        <v>119.906992</v>
      </c>
      <c r="G64" s="174"/>
      <c r="H64" s="192"/>
      <c r="I64" s="192"/>
      <c r="J64" s="174">
        <f>SUM(K64:M64)</f>
        <v>1818.84299</v>
      </c>
      <c r="K64" s="192">
        <v>400.4717360000001</v>
      </c>
      <c r="L64" s="221">
        <v>1418.3712540000001</v>
      </c>
      <c r="N64" s="110"/>
    </row>
    <row r="65" spans="2:14" ht="12.75">
      <c r="B65" s="838">
        <v>2010</v>
      </c>
      <c r="C65" s="337">
        <f>SUM(J65,G65,D65)</f>
        <v>2362.192134</v>
      </c>
      <c r="D65" s="338">
        <f>SUM(E65:F65)</f>
        <v>252.572251</v>
      </c>
      <c r="E65" s="339">
        <v>83.45195</v>
      </c>
      <c r="F65" s="339">
        <v>169.12030099999998</v>
      </c>
      <c r="G65" s="344"/>
      <c r="H65" s="339"/>
      <c r="I65" s="339"/>
      <c r="J65" s="344">
        <f>SUM(K65:M65)</f>
        <v>2109.619883</v>
      </c>
      <c r="K65" s="339">
        <v>401.27272099999993</v>
      </c>
      <c r="L65" s="340">
        <v>1708.347162</v>
      </c>
      <c r="N65" s="110"/>
    </row>
    <row r="66" spans="2:14" ht="12.75">
      <c r="B66" s="839">
        <v>2011</v>
      </c>
      <c r="C66" s="241">
        <f>SUM(J66,G66,D66)</f>
        <v>2454.29310680803</v>
      </c>
      <c r="D66" s="172">
        <f>SUM(E66:F66)</f>
        <v>300.92815</v>
      </c>
      <c r="E66" s="192">
        <v>105.3973935</v>
      </c>
      <c r="F66" s="192">
        <v>195.5307565</v>
      </c>
      <c r="G66" s="174"/>
      <c r="H66" s="192"/>
      <c r="I66" s="192"/>
      <c r="J66" s="174">
        <f>SUM(K66:M66)</f>
        <v>2153.36495680803</v>
      </c>
      <c r="K66" s="192">
        <v>415.16887875</v>
      </c>
      <c r="L66" s="221">
        <v>1738.19607805803</v>
      </c>
      <c r="N66" s="110"/>
    </row>
    <row r="67" spans="2:14" ht="13.5" thickBot="1">
      <c r="B67" s="319"/>
      <c r="C67" s="337"/>
      <c r="D67" s="338"/>
      <c r="E67" s="339"/>
      <c r="F67" s="339"/>
      <c r="G67" s="344"/>
      <c r="H67" s="339"/>
      <c r="I67" s="339"/>
      <c r="J67" s="344"/>
      <c r="K67" s="339"/>
      <c r="L67" s="340"/>
      <c r="N67" s="110"/>
    </row>
    <row r="68" spans="2:14" ht="12.75">
      <c r="B68" s="794" t="s">
        <v>167</v>
      </c>
      <c r="C68" s="1363">
        <f>(C66/C65)-1</f>
        <v>0.03898961963439951</v>
      </c>
      <c r="D68" s="1364">
        <f>(D66/D65)-1</f>
        <v>0.19145372782855707</v>
      </c>
      <c r="E68" s="1365">
        <f>(E66/E65)-1</f>
        <v>0.26297100906569604</v>
      </c>
      <c r="F68" s="1366">
        <f>(F66/F65)-1</f>
        <v>0.15616372099526954</v>
      </c>
      <c r="G68" s="251"/>
      <c r="H68" s="1367"/>
      <c r="I68" s="1368"/>
      <c r="J68" s="1369">
        <f>(J66/J65)-1</f>
        <v>0.02073599806322557</v>
      </c>
      <c r="K68" s="1370">
        <f>(K66/K65)-1</f>
        <v>0.03463020789295079</v>
      </c>
      <c r="L68" s="1371">
        <f>(L66/L65)-1</f>
        <v>0.01747239479303797</v>
      </c>
      <c r="M68" s="1396"/>
      <c r="N68" s="110"/>
    </row>
    <row r="69" spans="2:14" ht="23.25" customHeight="1">
      <c r="B69" s="819" t="s">
        <v>171</v>
      </c>
      <c r="C69" s="1373">
        <f>((C66/C61)^(1/5))-1</f>
        <v>0.06924485991537188</v>
      </c>
      <c r="D69" s="1374">
        <f>((D66/D61)^(1/5))-1</f>
        <v>0.0645594008528223</v>
      </c>
      <c r="E69" s="1375">
        <f>((E66/E61)^(1/5))-1</f>
        <v>-0.010942595614694461</v>
      </c>
      <c r="F69" s="1376">
        <f>((F66/F61)^(1/5))-1</f>
        <v>0.1245181534024471</v>
      </c>
      <c r="G69" s="164"/>
      <c r="H69" s="252"/>
      <c r="I69" s="1377"/>
      <c r="J69" s="1378">
        <f>((J66/J61)^(1/5))-1</f>
        <v>0.06990957733057002</v>
      </c>
      <c r="K69" s="1375">
        <f>((K66/K61)^(1/5))-1</f>
        <v>0.051985618512653264</v>
      </c>
      <c r="L69" s="1376">
        <f>((L66/L61)^(1/5))-1</f>
        <v>0.07447238770970732</v>
      </c>
      <c r="M69" s="1396"/>
      <c r="N69" s="110"/>
    </row>
    <row r="70" spans="2:13" ht="24" customHeight="1">
      <c r="B70" s="795" t="s">
        <v>169</v>
      </c>
      <c r="C70" s="1317">
        <f>(C66/C53)-1</f>
        <v>0.5389350972800999</v>
      </c>
      <c r="D70" s="1380">
        <f>(D66/(D53+G53))-1</f>
        <v>1.1025274655299149</v>
      </c>
      <c r="E70" s="1381">
        <f>(E66/(E53+H53))-1</f>
        <v>0.25827974817307653</v>
      </c>
      <c r="F70" s="1382">
        <f>(F66/(F53+I53))-1</f>
        <v>2.293772390444253</v>
      </c>
      <c r="G70" s="164"/>
      <c r="H70" s="1383"/>
      <c r="I70" s="1377"/>
      <c r="J70" s="1384">
        <f>(J66/J53)-1</f>
        <v>0.48336802525981337</v>
      </c>
      <c r="K70" s="1381">
        <f>(K66/K53)-1</f>
        <v>0.20351009375976825</v>
      </c>
      <c r="L70" s="1381">
        <f>(L66/L53)-1</f>
        <v>0.5706008075854125</v>
      </c>
      <c r="M70" s="1396"/>
    </row>
    <row r="71" spans="2:24" ht="25.5" customHeight="1" thickBot="1">
      <c r="B71" s="820" t="s">
        <v>170</v>
      </c>
      <c r="C71" s="1385">
        <f>((C66/C53)^(1/11))-1</f>
        <v>0.03996812328531307</v>
      </c>
      <c r="D71" s="1386">
        <f>((D66/(D53+G53))^(1/11))-1</f>
        <v>0.06989252320166828</v>
      </c>
      <c r="E71" s="1387">
        <f>((E66/(E53+H53))^(1/11))-1</f>
        <v>0.021105593370900566</v>
      </c>
      <c r="F71" s="1388">
        <f>((F66/(F53+I53))^(1/11))-1</f>
        <v>0.11445632449855103</v>
      </c>
      <c r="G71" s="1379"/>
      <c r="H71" s="1383"/>
      <c r="I71" s="1377"/>
      <c r="J71" s="1389">
        <f>((J66/J53)^(1/11))-1</f>
        <v>0.03649708020448239</v>
      </c>
      <c r="K71" s="1387">
        <f>((K66/K53)^(1/11))-1</f>
        <v>0.01698281076314867</v>
      </c>
      <c r="L71" s="1388">
        <f>((L66/L53)^(1/11))-1</f>
        <v>0.041895506801882476</v>
      </c>
      <c r="M71" s="1396"/>
      <c r="P71" s="24"/>
      <c r="Q71" s="24"/>
      <c r="R71" s="24"/>
      <c r="S71" s="24"/>
      <c r="T71" s="24"/>
      <c r="U71" s="24"/>
      <c r="V71" s="24"/>
      <c r="W71" s="24"/>
      <c r="X71" s="24"/>
    </row>
    <row r="72" spans="2:24" ht="12.75">
      <c r="B72" t="s">
        <v>178</v>
      </c>
      <c r="P72" s="24"/>
      <c r="Q72" s="24"/>
      <c r="R72" s="24"/>
      <c r="S72" s="24"/>
      <c r="T72" s="24"/>
      <c r="U72" s="24"/>
      <c r="V72" s="24"/>
      <c r="W72" s="24"/>
      <c r="X72" s="24"/>
    </row>
    <row r="73" spans="2:24" ht="12.75">
      <c r="B73" s="110"/>
      <c r="P73" s="24"/>
      <c r="Q73" s="24"/>
      <c r="R73" s="24"/>
      <c r="S73" s="24"/>
      <c r="T73" s="24"/>
      <c r="U73" s="24"/>
      <c r="V73" s="24"/>
      <c r="W73" s="24"/>
      <c r="X73" s="24"/>
    </row>
    <row r="74" spans="2:24" ht="12.75">
      <c r="B74" s="34"/>
      <c r="N74" s="110"/>
      <c r="P74" s="24"/>
      <c r="Q74" s="24"/>
      <c r="R74" s="24"/>
      <c r="S74" s="24"/>
      <c r="T74" s="24"/>
      <c r="U74" s="24"/>
      <c r="V74" s="24"/>
      <c r="W74" s="24"/>
      <c r="X74" s="24"/>
    </row>
    <row r="75" spans="14:24" ht="12.75">
      <c r="N75" s="110"/>
      <c r="P75" s="24"/>
      <c r="Q75" s="24"/>
      <c r="R75" s="24"/>
      <c r="S75" s="24"/>
      <c r="T75" s="24"/>
      <c r="U75" s="24"/>
      <c r="V75" s="24"/>
      <c r="W75" s="24"/>
      <c r="X75" s="24"/>
    </row>
    <row r="76" spans="2:24" ht="12.75">
      <c r="B76" s="110"/>
      <c r="J76" s="1395"/>
      <c r="L76" s="1395"/>
      <c r="N76" s="110"/>
      <c r="P76" s="1397"/>
      <c r="Q76" s="1398"/>
      <c r="R76" s="1398"/>
      <c r="S76" s="24"/>
      <c r="T76" s="24"/>
      <c r="U76" s="24"/>
      <c r="V76" s="24"/>
      <c r="W76" s="1390"/>
      <c r="X76" s="1390"/>
    </row>
    <row r="77" spans="2:24" ht="12.75">
      <c r="B77" s="110"/>
      <c r="N77" s="110"/>
      <c r="P77" s="1397"/>
      <c r="Q77" s="278"/>
      <c r="R77" s="278"/>
      <c r="S77" s="24"/>
      <c r="T77" s="24"/>
      <c r="U77" s="24"/>
      <c r="V77" s="24"/>
      <c r="W77" s="278"/>
      <c r="X77" s="278"/>
    </row>
    <row r="78" spans="2:24" ht="12.75">
      <c r="B78" s="110"/>
      <c r="J78" s="1395"/>
      <c r="L78" s="1395"/>
      <c r="N78" s="110"/>
      <c r="P78" s="1399"/>
      <c r="Q78" s="278"/>
      <c r="R78" s="278"/>
      <c r="S78" s="24"/>
      <c r="T78" s="24"/>
      <c r="U78" s="24"/>
      <c r="V78" s="24"/>
      <c r="W78" s="278"/>
      <c r="X78" s="278"/>
    </row>
    <row r="79" spans="2:24" ht="12.75">
      <c r="B79" s="110"/>
      <c r="N79" s="110"/>
      <c r="P79" s="1392"/>
      <c r="Q79" s="1392"/>
      <c r="R79" s="1392"/>
      <c r="S79" s="24"/>
      <c r="T79" s="24"/>
      <c r="U79" s="24"/>
      <c r="V79" s="1392"/>
      <c r="W79" s="1392"/>
      <c r="X79" s="1392"/>
    </row>
    <row r="80" spans="14:24" ht="12.75">
      <c r="N80" s="110"/>
      <c r="P80" s="24"/>
      <c r="Q80" s="24"/>
      <c r="R80" s="24"/>
      <c r="S80" s="24"/>
      <c r="T80" s="24"/>
      <c r="U80" s="24"/>
      <c r="V80" s="24"/>
      <c r="W80" s="24"/>
      <c r="X80" s="24"/>
    </row>
    <row r="81" spans="14:24" ht="12.75">
      <c r="N81" s="110"/>
      <c r="P81" s="24"/>
      <c r="Q81" s="24"/>
      <c r="R81" s="24"/>
      <c r="S81" s="24"/>
      <c r="T81" s="24"/>
      <c r="U81" s="24"/>
      <c r="V81" s="24"/>
      <c r="W81" s="24"/>
      <c r="X81" s="24"/>
    </row>
    <row r="82" spans="14:24" ht="12.75">
      <c r="N82" s="110"/>
      <c r="P82" s="24"/>
      <c r="Q82" s="24"/>
      <c r="R82" s="24"/>
      <c r="S82" s="24"/>
      <c r="T82" s="24"/>
      <c r="U82" s="24"/>
      <c r="V82" s="24"/>
      <c r="W82" s="24"/>
      <c r="X82" s="24"/>
    </row>
    <row r="83" spans="14:24" ht="12.75">
      <c r="N83" s="110"/>
      <c r="P83" s="24"/>
      <c r="Q83" s="24"/>
      <c r="R83" s="24"/>
      <c r="S83" s="24"/>
      <c r="T83" s="24"/>
      <c r="U83" s="24"/>
      <c r="V83" s="24"/>
      <c r="W83" s="24"/>
      <c r="X83" s="24"/>
    </row>
    <row r="84" spans="14:24" ht="12.75">
      <c r="N84" s="110"/>
      <c r="P84" s="24"/>
      <c r="Q84" s="24"/>
      <c r="R84" s="24"/>
      <c r="S84" s="24"/>
      <c r="T84" s="24"/>
      <c r="U84" s="24"/>
      <c r="V84" s="24"/>
      <c r="W84" s="24"/>
      <c r="X84" s="24"/>
    </row>
    <row r="85" ht="12.75">
      <c r="N85" s="110"/>
    </row>
    <row r="86" ht="12.75">
      <c r="N86" s="110"/>
    </row>
    <row r="87" ht="12.75">
      <c r="N87" s="110"/>
    </row>
  </sheetData>
  <sheetProtection password="B728" sheet="1"/>
  <mergeCells count="8">
    <mergeCell ref="D55:F55"/>
    <mergeCell ref="D5:F5"/>
    <mergeCell ref="G5:I5"/>
    <mergeCell ref="J5:M5"/>
    <mergeCell ref="D15:F15"/>
    <mergeCell ref="D45:F45"/>
    <mergeCell ref="G45:I45"/>
    <mergeCell ref="J45:L45"/>
  </mergeCells>
  <printOptions horizontalCentered="1"/>
  <pageMargins left="0" right="0" top="0.4724409448818898" bottom="0.3937007874015748" header="0" footer="0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3"/>
  <sheetViews>
    <sheetView view="pageBreakPreview" zoomScale="85" zoomScaleNormal="75" zoomScaleSheetLayoutView="85" zoomScalePageLayoutView="0" workbookViewId="0" topLeftCell="A3">
      <selection activeCell="A8" sqref="A8"/>
    </sheetView>
  </sheetViews>
  <sheetFormatPr defaultColWidth="11.421875" defaultRowHeight="12.75"/>
  <cols>
    <col min="1" max="1" width="4.7109375" style="0" customWidth="1"/>
    <col min="2" max="2" width="22.140625" style="0" customWidth="1"/>
    <col min="3" max="4" width="15.00390625" style="0" customWidth="1"/>
    <col min="5" max="5" width="13.28125" style="0" customWidth="1"/>
    <col min="6" max="6" width="12.7109375" style="0" customWidth="1"/>
    <col min="7" max="7" width="14.00390625" style="0" customWidth="1"/>
    <col min="8" max="8" width="11.00390625" style="0" customWidth="1"/>
  </cols>
  <sheetData>
    <row r="6" ht="20.25">
      <c r="B6" s="102"/>
    </row>
    <row r="8" spans="1:8" ht="18">
      <c r="A8" s="10" t="s">
        <v>95</v>
      </c>
      <c r="C8" s="103"/>
      <c r="D8" s="103"/>
      <c r="E8" s="103"/>
      <c r="F8" s="103"/>
      <c r="G8" s="103"/>
      <c r="H8" s="103"/>
    </row>
    <row r="10" ht="12.75">
      <c r="B10" s="79" t="s">
        <v>96</v>
      </c>
    </row>
    <row r="11" spans="14:20" ht="13.5" thickBot="1">
      <c r="N11" s="24"/>
      <c r="O11" s="24"/>
      <c r="P11" s="24"/>
      <c r="Q11" s="24"/>
      <c r="R11" s="24"/>
      <c r="S11" s="24"/>
      <c r="T11" s="24"/>
    </row>
    <row r="12" spans="2:20" ht="12.75">
      <c r="B12" s="1562" t="s">
        <v>47</v>
      </c>
      <c r="C12" s="1542" t="s">
        <v>97</v>
      </c>
      <c r="D12" s="1543"/>
      <c r="E12" s="1543"/>
      <c r="F12" s="1543"/>
      <c r="G12" s="1543"/>
      <c r="H12" s="1544"/>
      <c r="N12" s="24"/>
      <c r="O12" s="24"/>
      <c r="P12" s="24"/>
      <c r="Q12" s="24"/>
      <c r="R12" s="24"/>
      <c r="S12" s="24"/>
      <c r="T12" s="24"/>
    </row>
    <row r="13" spans="2:20" ht="12.75">
      <c r="B13" s="1563"/>
      <c r="C13" s="1539" t="s">
        <v>98</v>
      </c>
      <c r="D13" s="1540"/>
      <c r="E13" s="1540"/>
      <c r="F13" s="1540"/>
      <c r="G13" s="1540"/>
      <c r="H13" s="1541"/>
      <c r="N13" s="24"/>
      <c r="O13" s="1346"/>
      <c r="P13" s="1346"/>
      <c r="Q13" s="1257"/>
      <c r="R13" s="1257"/>
      <c r="S13" s="1257"/>
      <c r="T13" s="1257"/>
    </row>
    <row r="14" spans="2:20" ht="12.75">
      <c r="B14" s="356"/>
      <c r="C14" s="357" t="s">
        <v>55</v>
      </c>
      <c r="D14" s="357">
        <v>500</v>
      </c>
      <c r="E14" s="358">
        <v>220</v>
      </c>
      <c r="F14" s="359">
        <v>138</v>
      </c>
      <c r="G14" s="359" t="s">
        <v>99</v>
      </c>
      <c r="H14" s="360" t="s">
        <v>100</v>
      </c>
      <c r="N14" s="24"/>
      <c r="O14" s="1347"/>
      <c r="P14" s="1347"/>
      <c r="Q14" s="1348"/>
      <c r="R14" s="1348"/>
      <c r="S14" s="1348"/>
      <c r="T14" s="1348"/>
    </row>
    <row r="15" spans="2:20" ht="12.75">
      <c r="B15" s="361"/>
      <c r="C15" s="362"/>
      <c r="D15" s="362"/>
      <c r="E15" s="363"/>
      <c r="F15" s="364"/>
      <c r="G15" s="364"/>
      <c r="H15" s="365"/>
      <c r="N15" s="24"/>
      <c r="O15" s="1347"/>
      <c r="P15" s="1347"/>
      <c r="Q15" s="1348"/>
      <c r="R15" s="1348"/>
      <c r="S15" s="1348"/>
      <c r="T15" s="1348"/>
    </row>
    <row r="16" spans="2:20" ht="12.75">
      <c r="B16" s="366">
        <v>1995</v>
      </c>
      <c r="C16" s="367">
        <v>9131.536</v>
      </c>
      <c r="D16" s="367"/>
      <c r="E16" s="368">
        <v>3129.692</v>
      </c>
      <c r="F16" s="369">
        <v>1872.9719999999998</v>
      </c>
      <c r="G16" s="369">
        <v>3030.632</v>
      </c>
      <c r="H16" s="370">
        <v>1098.24</v>
      </c>
      <c r="I16" s="24"/>
      <c r="J16" s="13"/>
      <c r="N16" s="24"/>
      <c r="O16" s="374"/>
      <c r="P16" s="375"/>
      <c r="Q16" s="375"/>
      <c r="R16" s="375"/>
      <c r="S16" s="375"/>
      <c r="T16" s="375"/>
    </row>
    <row r="17" spans="2:20" ht="12.75">
      <c r="B17" s="314">
        <v>1996</v>
      </c>
      <c r="C17" s="371">
        <v>9410.073</v>
      </c>
      <c r="D17" s="371"/>
      <c r="E17" s="372">
        <v>3129.692</v>
      </c>
      <c r="F17" s="98">
        <v>1872.9719999999998</v>
      </c>
      <c r="G17" s="98">
        <v>3277.7189999999996</v>
      </c>
      <c r="H17" s="373">
        <v>1129.69</v>
      </c>
      <c r="I17" s="24"/>
      <c r="J17" s="13"/>
      <c r="N17" s="24"/>
      <c r="O17" s="374"/>
      <c r="P17" s="375"/>
      <c r="Q17" s="375"/>
      <c r="R17" s="375"/>
      <c r="S17" s="375"/>
      <c r="T17" s="375"/>
    </row>
    <row r="18" spans="2:20" ht="12.75">
      <c r="B18" s="366">
        <v>1997</v>
      </c>
      <c r="C18" s="367">
        <v>10824.466</v>
      </c>
      <c r="D18" s="367"/>
      <c r="E18" s="368">
        <v>3625.496</v>
      </c>
      <c r="F18" s="369">
        <v>2240.8330000000005</v>
      </c>
      <c r="G18" s="369">
        <v>3629.138999999999</v>
      </c>
      <c r="H18" s="370">
        <v>1328.998</v>
      </c>
      <c r="I18" s="24"/>
      <c r="J18" s="13"/>
      <c r="N18" s="24"/>
      <c r="O18" s="374"/>
      <c r="P18" s="375"/>
      <c r="Q18" s="375"/>
      <c r="R18" s="375"/>
      <c r="S18" s="375"/>
      <c r="T18" s="375"/>
    </row>
    <row r="19" spans="2:20" ht="12.75">
      <c r="B19" s="314">
        <v>1998</v>
      </c>
      <c r="C19" s="371">
        <v>11328.207999999999</v>
      </c>
      <c r="D19" s="371"/>
      <c r="E19" s="372">
        <v>3625.496</v>
      </c>
      <c r="F19" s="98">
        <v>2410.533</v>
      </c>
      <c r="G19" s="98">
        <v>3894.522999999999</v>
      </c>
      <c r="H19" s="373">
        <v>1397.656</v>
      </c>
      <c r="I19" s="24"/>
      <c r="J19" s="13"/>
      <c r="N19" s="24"/>
      <c r="O19" s="374"/>
      <c r="P19" s="375"/>
      <c r="Q19" s="375"/>
      <c r="R19" s="375"/>
      <c r="S19" s="375"/>
      <c r="T19" s="375"/>
    </row>
    <row r="20" spans="2:20" ht="12.75">
      <c r="B20" s="366">
        <v>1999</v>
      </c>
      <c r="C20" s="367">
        <v>12527.67</v>
      </c>
      <c r="D20" s="367"/>
      <c r="E20" s="368">
        <v>3996.306</v>
      </c>
      <c r="F20" s="369">
        <v>2920.413</v>
      </c>
      <c r="G20" s="369">
        <v>4189.570999999999</v>
      </c>
      <c r="H20" s="370">
        <v>1421.38</v>
      </c>
      <c r="I20" s="24"/>
      <c r="J20" s="13"/>
      <c r="N20" s="24"/>
      <c r="O20" s="374"/>
      <c r="P20" s="375"/>
      <c r="Q20" s="375"/>
      <c r="R20" s="375"/>
      <c r="S20" s="375"/>
      <c r="T20" s="375"/>
    </row>
    <row r="21" spans="2:20" ht="12.75">
      <c r="B21" s="314">
        <v>2000</v>
      </c>
      <c r="C21" s="371">
        <v>13656.000090000001</v>
      </c>
      <c r="D21" s="371"/>
      <c r="E21" s="372">
        <v>4860.06609</v>
      </c>
      <c r="F21" s="98">
        <v>3135.153</v>
      </c>
      <c r="G21" s="98">
        <v>4213.37</v>
      </c>
      <c r="H21" s="373">
        <v>1447.4109999999998</v>
      </c>
      <c r="I21" s="24"/>
      <c r="J21" s="13"/>
      <c r="N21" s="24"/>
      <c r="O21" s="374"/>
      <c r="P21" s="375"/>
      <c r="Q21" s="375"/>
      <c r="R21" s="375"/>
      <c r="S21" s="375"/>
      <c r="T21" s="375"/>
    </row>
    <row r="22" spans="2:20" ht="12.75">
      <c r="B22" s="366">
        <v>2001</v>
      </c>
      <c r="C22" s="367">
        <v>14260.63609</v>
      </c>
      <c r="D22" s="367"/>
      <c r="E22" s="368">
        <v>5318.10309</v>
      </c>
      <c r="F22" s="369">
        <v>3183.004</v>
      </c>
      <c r="G22" s="369">
        <v>4309.589</v>
      </c>
      <c r="H22" s="370">
        <v>1449.94</v>
      </c>
      <c r="I22" s="24"/>
      <c r="J22" s="13"/>
      <c r="N22" s="24"/>
      <c r="O22" s="374"/>
      <c r="P22" s="375"/>
      <c r="Q22" s="375"/>
      <c r="R22" s="375"/>
      <c r="S22" s="375"/>
      <c r="T22" s="375"/>
    </row>
    <row r="23" spans="2:20" ht="12.75">
      <c r="B23" s="314">
        <v>2002</v>
      </c>
      <c r="C23" s="371">
        <v>14678.77509</v>
      </c>
      <c r="D23" s="371"/>
      <c r="E23" s="372">
        <v>5558.67709</v>
      </c>
      <c r="F23" s="98">
        <v>3331.1639999999998</v>
      </c>
      <c r="G23" s="98">
        <v>4334.589</v>
      </c>
      <c r="H23" s="373">
        <v>1454.345</v>
      </c>
      <c r="I23" s="24"/>
      <c r="J23" s="13"/>
      <c r="N23" s="24"/>
      <c r="O23" s="374"/>
      <c r="P23" s="375"/>
      <c r="Q23" s="375"/>
      <c r="R23" s="375"/>
      <c r="S23" s="375"/>
      <c r="T23" s="375"/>
    </row>
    <row r="24" spans="2:20" ht="12.75">
      <c r="B24" s="366">
        <v>2003</v>
      </c>
      <c r="C24" s="367">
        <v>14692.997089999999</v>
      </c>
      <c r="D24" s="367"/>
      <c r="E24" s="368">
        <v>5558.67709</v>
      </c>
      <c r="F24" s="369">
        <v>3338.1639999999998</v>
      </c>
      <c r="G24" s="369">
        <v>4335.311</v>
      </c>
      <c r="H24" s="370">
        <v>1460.845</v>
      </c>
      <c r="I24" s="24"/>
      <c r="J24" s="13"/>
      <c r="N24" s="24"/>
      <c r="O24" s="374"/>
      <c r="P24" s="375"/>
      <c r="Q24" s="375"/>
      <c r="R24" s="375"/>
      <c r="S24" s="375"/>
      <c r="T24" s="375"/>
    </row>
    <row r="25" spans="2:20" ht="12.75">
      <c r="B25" s="314">
        <v>2004</v>
      </c>
      <c r="C25" s="371">
        <v>14856.66409</v>
      </c>
      <c r="D25" s="371"/>
      <c r="E25" s="372">
        <v>5613.97709</v>
      </c>
      <c r="F25" s="98">
        <v>3337.61</v>
      </c>
      <c r="G25" s="98">
        <v>4335.311</v>
      </c>
      <c r="H25" s="373">
        <v>1569.7659999999996</v>
      </c>
      <c r="I25" s="24"/>
      <c r="J25" s="13"/>
      <c r="N25" s="24"/>
      <c r="O25" s="374"/>
      <c r="P25" s="375"/>
      <c r="Q25" s="375"/>
      <c r="R25" s="375"/>
      <c r="S25" s="375"/>
      <c r="T25" s="375"/>
    </row>
    <row r="26" spans="2:20" ht="12.75">
      <c r="B26" s="366">
        <v>2005</v>
      </c>
      <c r="C26" s="367">
        <v>15271.97709</v>
      </c>
      <c r="D26" s="367"/>
      <c r="E26" s="368">
        <v>5613.97709</v>
      </c>
      <c r="F26" s="369">
        <v>3435</v>
      </c>
      <c r="G26" s="369">
        <v>4678</v>
      </c>
      <c r="H26" s="370">
        <v>1545</v>
      </c>
      <c r="I26" s="24"/>
      <c r="J26" s="13"/>
      <c r="N26" s="24"/>
      <c r="O26" s="374"/>
      <c r="P26" s="375"/>
      <c r="Q26" s="375"/>
      <c r="R26" s="375"/>
      <c r="S26" s="375"/>
      <c r="T26" s="375"/>
    </row>
    <row r="27" spans="2:20" ht="12.75">
      <c r="B27" s="314">
        <v>2006</v>
      </c>
      <c r="C27" s="371">
        <v>15688.071089999998</v>
      </c>
      <c r="D27" s="371"/>
      <c r="E27" s="372">
        <v>5664.087089999999</v>
      </c>
      <c r="F27" s="98">
        <v>3636.3779999999997</v>
      </c>
      <c r="G27" s="98">
        <v>4841.857999999999</v>
      </c>
      <c r="H27" s="373">
        <v>1545.7479999999998</v>
      </c>
      <c r="I27" s="24"/>
      <c r="J27" s="13"/>
      <c r="N27" s="24"/>
      <c r="O27" s="374"/>
      <c r="P27" s="375"/>
      <c r="Q27" s="375"/>
      <c r="R27" s="375"/>
      <c r="S27" s="375"/>
      <c r="T27" s="375"/>
    </row>
    <row r="28" spans="2:20" ht="12.75">
      <c r="B28" s="366">
        <v>2007</v>
      </c>
      <c r="C28" s="367">
        <v>15711.891089999997</v>
      </c>
      <c r="D28" s="367"/>
      <c r="E28" s="368">
        <v>5676.9770899999985</v>
      </c>
      <c r="F28" s="369">
        <v>3636.3779999999997</v>
      </c>
      <c r="G28" s="369">
        <v>4852.788</v>
      </c>
      <c r="H28" s="370">
        <v>1545.7479999999998</v>
      </c>
      <c r="I28" s="24"/>
      <c r="J28" s="13"/>
      <c r="N28" s="1349"/>
      <c r="O28" s="374"/>
      <c r="P28" s="375"/>
      <c r="Q28" s="375"/>
      <c r="R28" s="375"/>
      <c r="S28" s="375"/>
      <c r="T28" s="375"/>
    </row>
    <row r="29" spans="2:20" ht="12.75">
      <c r="B29" s="314">
        <v>2008</v>
      </c>
      <c r="C29" s="371">
        <v>15755.003089999998</v>
      </c>
      <c r="D29" s="371"/>
      <c r="E29" s="372">
        <v>5710.71509</v>
      </c>
      <c r="F29" s="98">
        <v>3636.3779999999992</v>
      </c>
      <c r="G29" s="98">
        <v>4862.162</v>
      </c>
      <c r="H29" s="373">
        <v>1545.7479999999998</v>
      </c>
      <c r="I29" s="24"/>
      <c r="J29" s="13"/>
      <c r="N29" s="1349"/>
      <c r="O29" s="374"/>
      <c r="P29" s="375"/>
      <c r="Q29" s="375"/>
      <c r="R29" s="375"/>
      <c r="S29" s="375"/>
      <c r="T29" s="375"/>
    </row>
    <row r="30" spans="2:20" ht="12.75">
      <c r="B30" s="366">
        <v>2009</v>
      </c>
      <c r="C30" s="367">
        <v>16319.40109</v>
      </c>
      <c r="D30" s="367"/>
      <c r="E30" s="368">
        <v>5714.26609</v>
      </c>
      <c r="F30" s="369">
        <v>4057.028</v>
      </c>
      <c r="G30" s="369">
        <v>4992.947</v>
      </c>
      <c r="H30" s="370">
        <v>1555.16</v>
      </c>
      <c r="I30" s="24"/>
      <c r="J30" s="13"/>
      <c r="N30" s="1349"/>
      <c r="O30" s="374"/>
      <c r="P30" s="375"/>
      <c r="Q30" s="375"/>
      <c r="R30" s="375"/>
      <c r="S30" s="375"/>
      <c r="T30" s="375"/>
    </row>
    <row r="31" spans="2:20" ht="12.75">
      <c r="B31" s="314">
        <v>2010</v>
      </c>
      <c r="C31" s="371">
        <v>17064.863289999998</v>
      </c>
      <c r="D31" s="371"/>
      <c r="E31" s="372">
        <v>5862.567089999999</v>
      </c>
      <c r="F31" s="98">
        <v>4252.078</v>
      </c>
      <c r="G31" s="98">
        <v>5204.0582</v>
      </c>
      <c r="H31" s="373">
        <v>1746.1599999999999</v>
      </c>
      <c r="I31" s="24"/>
      <c r="J31" s="13"/>
      <c r="N31" s="1349"/>
      <c r="O31" s="374"/>
      <c r="P31" s="375"/>
      <c r="Q31" s="375"/>
      <c r="R31" s="375"/>
      <c r="S31" s="375"/>
      <c r="T31" s="375"/>
    </row>
    <row r="32" spans="2:20" ht="12.75">
      <c r="B32" s="366">
        <v>2011</v>
      </c>
      <c r="C32" s="367">
        <v>18635.98029</v>
      </c>
      <c r="D32" s="367">
        <v>89</v>
      </c>
      <c r="E32" s="368">
        <v>6849.757089999998</v>
      </c>
      <c r="F32" s="369">
        <v>4443.144</v>
      </c>
      <c r="G32" s="369">
        <v>5563.4592</v>
      </c>
      <c r="H32" s="370">
        <v>1779.62</v>
      </c>
      <c r="I32" s="24"/>
      <c r="J32" s="13"/>
      <c r="N32" s="1349"/>
      <c r="O32" s="374"/>
      <c r="P32" s="375"/>
      <c r="Q32" s="375"/>
      <c r="R32" s="375"/>
      <c r="S32" s="375"/>
      <c r="T32" s="375"/>
    </row>
    <row r="33" spans="2:20" ht="13.5" thickBot="1">
      <c r="B33" s="314"/>
      <c r="C33" s="371"/>
      <c r="D33" s="371"/>
      <c r="E33" s="372"/>
      <c r="F33" s="98"/>
      <c r="G33" s="98"/>
      <c r="H33" s="373"/>
      <c r="I33" s="24"/>
      <c r="J33" s="13"/>
      <c r="M33" s="374"/>
      <c r="N33" s="375"/>
      <c r="O33" s="375"/>
      <c r="P33" s="375"/>
      <c r="Q33" s="375"/>
      <c r="R33" s="375"/>
      <c r="S33" s="24"/>
      <c r="T33" s="24"/>
    </row>
    <row r="34" spans="2:20" ht="12.75">
      <c r="B34" s="938" t="s">
        <v>167</v>
      </c>
      <c r="C34" s="1350">
        <v>0.09206736516434177</v>
      </c>
      <c r="D34" s="1351"/>
      <c r="E34" s="1351">
        <v>0.16838869130962908</v>
      </c>
      <c r="F34" s="1352">
        <v>0.04493473543994253</v>
      </c>
      <c r="G34" s="1352">
        <v>0.0690616795945902</v>
      </c>
      <c r="H34" s="1353">
        <v>0.01916204700600166</v>
      </c>
      <c r="J34" s="13"/>
      <c r="N34" s="24"/>
      <c r="O34" s="24"/>
      <c r="P34" s="24"/>
      <c r="Q34" s="24"/>
      <c r="R34" s="24"/>
      <c r="S34" s="24"/>
      <c r="T34" s="24"/>
    </row>
    <row r="35" spans="2:20" ht="12.75">
      <c r="B35" s="379" t="s">
        <v>171</v>
      </c>
      <c r="C35" s="1354">
        <v>0.03503858186846687</v>
      </c>
      <c r="D35" s="1235"/>
      <c r="E35" s="1235">
        <v>0.03874524711912186</v>
      </c>
      <c r="F35" s="1231">
        <v>0.04088865112038187</v>
      </c>
      <c r="G35" s="1231">
        <v>0.028173891972310017</v>
      </c>
      <c r="H35" s="1355">
        <v>0.028579150692629174</v>
      </c>
      <c r="J35" s="13"/>
      <c r="N35" s="24"/>
      <c r="O35" s="24"/>
      <c r="P35" s="24"/>
      <c r="Q35" s="24"/>
      <c r="R35" s="24"/>
      <c r="S35" s="24"/>
      <c r="T35" s="24"/>
    </row>
    <row r="36" spans="2:8" ht="12.75">
      <c r="B36" s="377" t="s">
        <v>169</v>
      </c>
      <c r="C36" s="1356">
        <v>0.36467341587429636</v>
      </c>
      <c r="D36" s="1201"/>
      <c r="E36" s="1201">
        <v>0.4093958730507712</v>
      </c>
      <c r="F36" s="1357">
        <v>0.4172016485319856</v>
      </c>
      <c r="G36" s="1357">
        <v>0.3204297747408844</v>
      </c>
      <c r="H36" s="1358">
        <v>0.2295194661364326</v>
      </c>
    </row>
    <row r="37" spans="2:8" ht="13.5" thickBot="1">
      <c r="B37" s="156" t="s">
        <v>170</v>
      </c>
      <c r="C37" s="1359">
        <v>0.02866825887926505</v>
      </c>
      <c r="D37" s="1360"/>
      <c r="E37" s="1360">
        <v>0.031688178228234776</v>
      </c>
      <c r="F37" s="1361">
        <v>0.03220631925873607</v>
      </c>
      <c r="G37" s="1361">
        <v>0.025590806143647615</v>
      </c>
      <c r="H37" s="1362">
        <v>0.018961474975210058</v>
      </c>
    </row>
    <row r="38" spans="2:4" ht="12.75">
      <c r="B38" s="5"/>
      <c r="C38" s="1220"/>
      <c r="D38" s="1220"/>
    </row>
    <row r="39" ht="12.75">
      <c r="B39" s="34"/>
    </row>
    <row r="40" ht="12.75">
      <c r="B40" s="34"/>
    </row>
    <row r="41" ht="12.75">
      <c r="B41" s="34"/>
    </row>
    <row r="43" spans="10:12" ht="12.75">
      <c r="J43" s="13"/>
      <c r="L43" s="106"/>
    </row>
    <row r="44" ht="12.75">
      <c r="L44" s="106"/>
    </row>
    <row r="45" ht="12.75">
      <c r="L45" s="106"/>
    </row>
    <row r="46" ht="12.75">
      <c r="L46" s="106"/>
    </row>
    <row r="47" ht="12.75">
      <c r="L47" s="106"/>
    </row>
    <row r="48" ht="12.75">
      <c r="L48" s="106"/>
    </row>
    <row r="49" ht="12.75">
      <c r="L49" s="106"/>
    </row>
    <row r="50" spans="12:13" ht="12.75">
      <c r="L50" s="106"/>
      <c r="M50" s="106"/>
    </row>
    <row r="51" spans="12:13" ht="12.75">
      <c r="L51" s="106"/>
      <c r="M51" s="106"/>
    </row>
    <row r="52" spans="11:13" ht="12.75">
      <c r="K52" s="95"/>
      <c r="L52" s="106"/>
      <c r="M52" s="106"/>
    </row>
    <row r="53" spans="12:13" ht="12.75">
      <c r="L53" s="106"/>
      <c r="M53" s="106"/>
    </row>
  </sheetData>
  <sheetProtection password="B728" sheet="1"/>
  <mergeCells count="3">
    <mergeCell ref="B12:B13"/>
    <mergeCell ref="C12:H12"/>
    <mergeCell ref="C13:H13"/>
  </mergeCells>
  <printOptions/>
  <pageMargins left="1.1023622047244095" right="0.48" top="0.7480314960629921" bottom="1" header="0" footer="0"/>
  <pageSetup fitToHeight="1" fitToWidth="1"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0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11.421875" defaultRowHeight="12.75"/>
  <cols>
    <col min="1" max="1" width="7.28125" style="0" customWidth="1"/>
    <col min="2" max="2" width="20.7109375" style="0" customWidth="1"/>
    <col min="3" max="3" width="16.00390625" style="0" customWidth="1"/>
    <col min="4" max="4" width="14.421875" style="0" customWidth="1"/>
    <col min="5" max="5" width="16.7109375" style="0" customWidth="1"/>
    <col min="8" max="8" width="4.421875" style="0" customWidth="1"/>
    <col min="9" max="9" width="5.421875" style="0" customWidth="1"/>
  </cols>
  <sheetData>
    <row r="3" ht="18">
      <c r="A3" s="10" t="s">
        <v>104</v>
      </c>
    </row>
    <row r="4" spans="1:5" ht="18">
      <c r="A4" s="10"/>
      <c r="B4" s="1596" t="s">
        <v>103</v>
      </c>
      <c r="C4" s="1596"/>
      <c r="D4" s="1596"/>
      <c r="E4" s="1596"/>
    </row>
    <row r="5" ht="12.75" customHeight="1"/>
    <row r="6" spans="2:3" ht="38.25" customHeight="1">
      <c r="B6" s="383" t="s">
        <v>47</v>
      </c>
      <c r="C6" s="384" t="s">
        <v>101</v>
      </c>
    </row>
    <row r="7" spans="2:3" ht="12.75" customHeight="1">
      <c r="B7" s="740"/>
      <c r="C7" s="741"/>
    </row>
    <row r="8" spans="2:3" ht="12.75" customHeight="1">
      <c r="B8" s="385">
        <v>1995</v>
      </c>
      <c r="C8" s="386">
        <v>3.66</v>
      </c>
    </row>
    <row r="9" spans="2:3" ht="12.75">
      <c r="B9" s="742">
        <v>1996</v>
      </c>
      <c r="C9" s="387">
        <v>3.57</v>
      </c>
    </row>
    <row r="10" spans="2:3" ht="12.75">
      <c r="B10" s="385">
        <v>1997</v>
      </c>
      <c r="C10" s="386">
        <v>3.38</v>
      </c>
    </row>
    <row r="11" spans="2:3" ht="12.75">
      <c r="B11" s="742">
        <v>1998</v>
      </c>
      <c r="C11" s="387">
        <v>2.9</v>
      </c>
    </row>
    <row r="12" spans="2:3" ht="12.75">
      <c r="B12" s="385">
        <v>1999</v>
      </c>
      <c r="C12" s="386">
        <v>2.77</v>
      </c>
    </row>
    <row r="13" spans="2:3" ht="12.75">
      <c r="B13" s="742">
        <v>2000</v>
      </c>
      <c r="C13" s="387">
        <v>2.52</v>
      </c>
    </row>
    <row r="14" spans="2:3" ht="12.75">
      <c r="B14" s="385">
        <v>2001</v>
      </c>
      <c r="C14" s="386">
        <v>2.31</v>
      </c>
    </row>
    <row r="15" spans="2:3" ht="12.75">
      <c r="B15" s="742">
        <v>2002</v>
      </c>
      <c r="C15" s="387">
        <v>2.3</v>
      </c>
    </row>
    <row r="16" spans="2:3" ht="12.75">
      <c r="B16" s="385">
        <v>2003</v>
      </c>
      <c r="C16" s="386">
        <v>2.08</v>
      </c>
    </row>
    <row r="17" spans="2:3" ht="12.75">
      <c r="B17" s="742">
        <v>2004</v>
      </c>
      <c r="C17" s="387">
        <v>1.81</v>
      </c>
    </row>
    <row r="18" spans="2:3" ht="12.75">
      <c r="B18" s="385">
        <v>2005</v>
      </c>
      <c r="C18" s="386">
        <v>1.88</v>
      </c>
    </row>
    <row r="19" spans="2:3" ht="12.75">
      <c r="B19" s="742">
        <v>2006</v>
      </c>
      <c r="C19" s="387">
        <v>1.86</v>
      </c>
    </row>
    <row r="20" spans="2:3" ht="12.75">
      <c r="B20" s="385">
        <v>2007</v>
      </c>
      <c r="C20" s="386">
        <v>2.15</v>
      </c>
    </row>
    <row r="21" spans="2:3" ht="12.75">
      <c r="B21" s="742">
        <v>2008</v>
      </c>
      <c r="C21" s="387">
        <v>2.11</v>
      </c>
    </row>
    <row r="22" spans="2:5" ht="12.75">
      <c r="B22" s="385">
        <v>2009</v>
      </c>
      <c r="C22" s="386">
        <v>2.24</v>
      </c>
      <c r="E22" s="388"/>
    </row>
    <row r="23" spans="2:5" ht="12.75">
      <c r="B23" s="742">
        <v>2010</v>
      </c>
      <c r="C23" s="387">
        <v>2.68</v>
      </c>
      <c r="E23" s="388"/>
    </row>
    <row r="24" spans="2:5" ht="12.75">
      <c r="B24" s="385">
        <v>2011</v>
      </c>
      <c r="C24" s="386">
        <v>2.85</v>
      </c>
      <c r="E24" s="388"/>
    </row>
    <row r="25" spans="2:3" ht="12.75">
      <c r="B25" s="742"/>
      <c r="C25" s="387"/>
    </row>
    <row r="26" spans="2:3" ht="12.75">
      <c r="B26" s="389" t="s">
        <v>167</v>
      </c>
      <c r="C26" s="1342">
        <v>0.06343283582089554</v>
      </c>
    </row>
    <row r="27" spans="2:3" ht="12.75">
      <c r="B27" s="390" t="s">
        <v>171</v>
      </c>
      <c r="C27" s="1343">
        <v>0.08909655214529599</v>
      </c>
    </row>
    <row r="28" spans="2:3" ht="12.75">
      <c r="B28" s="391" t="s">
        <v>169</v>
      </c>
      <c r="C28" s="1344">
        <v>0.13095238095238093</v>
      </c>
    </row>
    <row r="29" spans="2:3" ht="12.75">
      <c r="B29" s="392" t="s">
        <v>170</v>
      </c>
      <c r="C29" s="1345">
        <v>0.01125009280159106</v>
      </c>
    </row>
    <row r="31" ht="12.75">
      <c r="B31" s="25" t="s">
        <v>102</v>
      </c>
    </row>
    <row r="32" ht="12.75">
      <c r="B32" s="34"/>
    </row>
    <row r="60" ht="12.75">
      <c r="B60" s="393"/>
    </row>
  </sheetData>
  <sheetProtection password="B728" sheet="1"/>
  <mergeCells count="1">
    <mergeCell ref="B4:E4"/>
  </mergeCells>
  <printOptions/>
  <pageMargins left="1.14" right="1.4" top="0.8" bottom="1" header="0" footer="0"/>
  <pageSetup fitToHeight="1" fitToWidth="1" horizontalDpi="600" verticalDpi="600" orientation="portrait" paperSize="9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54"/>
  <sheetViews>
    <sheetView view="pageBreakPreview" zoomScaleNormal="75" zoomScaleSheetLayoutView="100" workbookViewId="0" topLeftCell="A1">
      <selection activeCell="F8" sqref="F8"/>
    </sheetView>
  </sheetViews>
  <sheetFormatPr defaultColWidth="11.421875" defaultRowHeight="12.75"/>
  <cols>
    <col min="1" max="1" width="5.421875" style="0" customWidth="1"/>
    <col min="2" max="2" width="22.140625" style="0" customWidth="1"/>
    <col min="3" max="3" width="15.00390625" style="0" customWidth="1"/>
    <col min="4" max="4" width="10.85156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1.28125" style="0" customWidth="1"/>
    <col min="13" max="14" width="11.57421875" style="0" bestFit="1" customWidth="1"/>
    <col min="15" max="15" width="12.421875" style="0" bestFit="1" customWidth="1"/>
    <col min="16" max="16" width="11.57421875" style="0" bestFit="1" customWidth="1"/>
  </cols>
  <sheetData>
    <row r="7" ht="20.25">
      <c r="A7" s="102" t="s">
        <v>105</v>
      </c>
    </row>
    <row r="8" spans="3:11" ht="15">
      <c r="C8" s="103"/>
      <c r="D8" s="103"/>
      <c r="E8" s="103"/>
      <c r="F8" s="103"/>
      <c r="G8" s="103"/>
      <c r="H8" s="104"/>
      <c r="I8" s="104"/>
      <c r="J8" s="104"/>
      <c r="K8" s="104"/>
    </row>
    <row r="9" spans="2:11" ht="15.75">
      <c r="B9" s="88" t="s">
        <v>106</v>
      </c>
      <c r="K9" s="15"/>
    </row>
    <row r="10" ht="13.5" thickBot="1"/>
    <row r="11" spans="2:11" ht="12.75">
      <c r="B11" s="394"/>
      <c r="C11" s="1597" t="s">
        <v>107</v>
      </c>
      <c r="D11" s="1598"/>
      <c r="E11" s="1598"/>
      <c r="F11" s="395" t="s">
        <v>108</v>
      </c>
      <c r="G11" s="396"/>
      <c r="H11" s="397"/>
      <c r="I11" s="398" t="s">
        <v>109</v>
      </c>
      <c r="J11" s="399"/>
      <c r="K11" s="400"/>
    </row>
    <row r="12" spans="2:11" ht="13.5" thickBot="1">
      <c r="B12" s="401" t="s">
        <v>47</v>
      </c>
      <c r="C12" s="401" t="s">
        <v>55</v>
      </c>
      <c r="D12" s="402" t="s">
        <v>110</v>
      </c>
      <c r="E12" s="403" t="s">
        <v>111</v>
      </c>
      <c r="F12" s="402" t="s">
        <v>112</v>
      </c>
      <c r="G12" s="404" t="s">
        <v>110</v>
      </c>
      <c r="H12" s="405" t="s">
        <v>111</v>
      </c>
      <c r="I12" s="406" t="s">
        <v>55</v>
      </c>
      <c r="J12" s="404" t="s">
        <v>110</v>
      </c>
      <c r="K12" s="407" t="s">
        <v>111</v>
      </c>
    </row>
    <row r="13" spans="2:11" ht="12.75">
      <c r="B13" s="314"/>
      <c r="C13" s="408"/>
      <c r="D13" s="132"/>
      <c r="E13" s="132"/>
      <c r="F13" s="132"/>
      <c r="G13" s="132"/>
      <c r="H13" s="144"/>
      <c r="I13" s="134"/>
      <c r="J13" s="132"/>
      <c r="K13" s="217"/>
    </row>
    <row r="14" spans="2:16" ht="12.75">
      <c r="B14" s="366">
        <v>1995</v>
      </c>
      <c r="C14" s="367">
        <f aca="true" t="shared" si="0" ref="C14:C30">SUM(D14:E14)</f>
        <v>2491835</v>
      </c>
      <c r="D14" s="411">
        <f aca="true" t="shared" si="1" ref="D14:E20">(G14+J14)</f>
        <v>2491629</v>
      </c>
      <c r="E14" s="411">
        <f t="shared" si="1"/>
        <v>206</v>
      </c>
      <c r="F14" s="411">
        <f aca="true" t="shared" si="2" ref="F14:F30">SUM(G14:H14)</f>
        <v>2491804</v>
      </c>
      <c r="G14" s="411">
        <v>2491629</v>
      </c>
      <c r="H14" s="369">
        <v>175</v>
      </c>
      <c r="I14" s="412">
        <f aca="true" t="shared" si="3" ref="I14:I30">SUM(J14:K14)</f>
        <v>31</v>
      </c>
      <c r="J14" s="411"/>
      <c r="K14" s="370">
        <v>31</v>
      </c>
      <c r="M14" s="13"/>
      <c r="O14" s="106"/>
      <c r="P14" s="106"/>
    </row>
    <row r="15" spans="2:16" ht="12.75">
      <c r="B15" s="314">
        <v>1996</v>
      </c>
      <c r="C15" s="371">
        <f t="shared" si="0"/>
        <v>2775713</v>
      </c>
      <c r="D15" s="409">
        <f t="shared" si="1"/>
        <v>2775514</v>
      </c>
      <c r="E15" s="409">
        <f t="shared" si="1"/>
        <v>199</v>
      </c>
      <c r="F15" s="409">
        <f t="shared" si="2"/>
        <v>2775675</v>
      </c>
      <c r="G15" s="409">
        <v>2775514</v>
      </c>
      <c r="H15" s="98">
        <v>161</v>
      </c>
      <c r="I15" s="410">
        <f t="shared" si="3"/>
        <v>38</v>
      </c>
      <c r="J15" s="409"/>
      <c r="K15" s="373">
        <v>38</v>
      </c>
      <c r="M15" s="13"/>
      <c r="O15" s="106"/>
      <c r="P15" s="106"/>
    </row>
    <row r="16" spans="2:16" ht="12.75">
      <c r="B16" s="366">
        <v>1997</v>
      </c>
      <c r="C16" s="367">
        <f t="shared" si="0"/>
        <v>2964315</v>
      </c>
      <c r="D16" s="411">
        <f t="shared" si="1"/>
        <v>2964103</v>
      </c>
      <c r="E16" s="411">
        <f t="shared" si="1"/>
        <v>212</v>
      </c>
      <c r="F16" s="369">
        <f t="shared" si="2"/>
        <v>2964263</v>
      </c>
      <c r="G16" s="412">
        <v>2964103</v>
      </c>
      <c r="H16" s="369">
        <v>160</v>
      </c>
      <c r="I16" s="413">
        <f t="shared" si="3"/>
        <v>52</v>
      </c>
      <c r="J16" s="411"/>
      <c r="K16" s="370">
        <v>52</v>
      </c>
      <c r="M16" s="13"/>
      <c r="O16" s="106"/>
      <c r="P16" s="106"/>
    </row>
    <row r="17" spans="2:16" ht="12.75">
      <c r="B17" s="314">
        <v>1998</v>
      </c>
      <c r="C17" s="371">
        <f t="shared" si="0"/>
        <v>3057320</v>
      </c>
      <c r="D17" s="409">
        <f t="shared" si="1"/>
        <v>3057102</v>
      </c>
      <c r="E17" s="409">
        <f t="shared" si="1"/>
        <v>218</v>
      </c>
      <c r="F17" s="98">
        <f t="shared" si="2"/>
        <v>3057270</v>
      </c>
      <c r="G17" s="410">
        <v>3057102</v>
      </c>
      <c r="H17" s="98">
        <v>168</v>
      </c>
      <c r="I17" s="414">
        <f t="shared" si="3"/>
        <v>50</v>
      </c>
      <c r="J17" s="409"/>
      <c r="K17" s="373">
        <v>50</v>
      </c>
      <c r="M17" s="13"/>
      <c r="O17" s="106"/>
      <c r="P17" s="106"/>
    </row>
    <row r="18" spans="2:16" ht="12.75">
      <c r="B18" s="366">
        <v>1999</v>
      </c>
      <c r="C18" s="367">
        <f t="shared" si="0"/>
        <v>3217058</v>
      </c>
      <c r="D18" s="411">
        <f t="shared" si="1"/>
        <v>3216835</v>
      </c>
      <c r="E18" s="411">
        <f t="shared" si="1"/>
        <v>223</v>
      </c>
      <c r="F18" s="369">
        <f t="shared" si="2"/>
        <v>3217011</v>
      </c>
      <c r="G18" s="412">
        <v>3216835</v>
      </c>
      <c r="H18" s="369">
        <v>176</v>
      </c>
      <c r="I18" s="413">
        <f t="shared" si="3"/>
        <v>47</v>
      </c>
      <c r="J18" s="411"/>
      <c r="K18" s="370">
        <v>47</v>
      </c>
      <c r="M18" s="13"/>
      <c r="O18" s="106"/>
      <c r="P18" s="106"/>
    </row>
    <row r="19" spans="2:16" ht="12.75">
      <c r="B19" s="314">
        <v>2000</v>
      </c>
      <c r="C19" s="371">
        <f t="shared" si="0"/>
        <v>3352209</v>
      </c>
      <c r="D19" s="409">
        <f t="shared" si="1"/>
        <v>3351980</v>
      </c>
      <c r="E19" s="409">
        <f t="shared" si="1"/>
        <v>229</v>
      </c>
      <c r="F19" s="98">
        <f t="shared" si="2"/>
        <v>3352159</v>
      </c>
      <c r="G19" s="410">
        <v>3351980</v>
      </c>
      <c r="H19" s="98">
        <v>179</v>
      </c>
      <c r="I19" s="414">
        <f t="shared" si="3"/>
        <v>50</v>
      </c>
      <c r="J19" s="98"/>
      <c r="K19" s="373">
        <v>50</v>
      </c>
      <c r="M19" s="13"/>
      <c r="O19" s="106"/>
      <c r="P19" s="106"/>
    </row>
    <row r="20" spans="2:16" ht="12.75">
      <c r="B20" s="366">
        <v>2001</v>
      </c>
      <c r="C20" s="367">
        <f t="shared" si="0"/>
        <v>3462851</v>
      </c>
      <c r="D20" s="411">
        <f t="shared" si="1"/>
        <v>3462610</v>
      </c>
      <c r="E20" s="411">
        <f t="shared" si="1"/>
        <v>241</v>
      </c>
      <c r="F20" s="369">
        <f t="shared" si="2"/>
        <v>3462792</v>
      </c>
      <c r="G20" s="412">
        <v>3462610</v>
      </c>
      <c r="H20" s="369">
        <v>182</v>
      </c>
      <c r="I20" s="413">
        <f t="shared" si="3"/>
        <v>59</v>
      </c>
      <c r="J20" s="369"/>
      <c r="K20" s="370">
        <v>59</v>
      </c>
      <c r="M20" s="13"/>
      <c r="O20" s="106"/>
      <c r="P20" s="106"/>
    </row>
    <row r="21" spans="2:16" ht="12.75">
      <c r="B21" s="314">
        <v>2002</v>
      </c>
      <c r="C21" s="371">
        <f t="shared" si="0"/>
        <v>3614484</v>
      </c>
      <c r="D21" s="409">
        <f aca="true" t="shared" si="4" ref="D21:D30">SUM(G21,J21)</f>
        <v>3614223</v>
      </c>
      <c r="E21" s="409">
        <f aca="true" t="shared" si="5" ref="E21:E30">SUM(H21,K21)</f>
        <v>261</v>
      </c>
      <c r="F21" s="98">
        <f t="shared" si="2"/>
        <v>3614408</v>
      </c>
      <c r="G21" s="409">
        <v>3614223</v>
      </c>
      <c r="H21" s="98">
        <v>185</v>
      </c>
      <c r="I21" s="98">
        <f t="shared" si="3"/>
        <v>76</v>
      </c>
      <c r="J21" s="98"/>
      <c r="K21" s="373">
        <v>76</v>
      </c>
      <c r="N21" s="95"/>
      <c r="O21" s="106"/>
      <c r="P21" s="106"/>
    </row>
    <row r="22" spans="2:16" ht="12.75">
      <c r="B22" s="366">
        <v>2003</v>
      </c>
      <c r="C22" s="367">
        <f t="shared" si="0"/>
        <v>3727266</v>
      </c>
      <c r="D22" s="411">
        <f t="shared" si="4"/>
        <v>3727019</v>
      </c>
      <c r="E22" s="411">
        <f t="shared" si="5"/>
        <v>247</v>
      </c>
      <c r="F22" s="369">
        <f t="shared" si="2"/>
        <v>3727184</v>
      </c>
      <c r="G22" s="411">
        <v>3727019</v>
      </c>
      <c r="H22" s="369">
        <v>165</v>
      </c>
      <c r="I22" s="369">
        <f t="shared" si="3"/>
        <v>82</v>
      </c>
      <c r="J22" s="369"/>
      <c r="K22" s="370">
        <v>82</v>
      </c>
      <c r="N22" s="95"/>
      <c r="O22" s="106"/>
      <c r="P22" s="106"/>
    </row>
    <row r="23" spans="2:16" ht="12.75">
      <c r="B23" s="314">
        <v>2004</v>
      </c>
      <c r="C23" s="371">
        <f t="shared" si="0"/>
        <v>3860515</v>
      </c>
      <c r="D23" s="409">
        <f t="shared" si="4"/>
        <v>3860270</v>
      </c>
      <c r="E23" s="409">
        <f t="shared" si="5"/>
        <v>245</v>
      </c>
      <c r="F23" s="98">
        <f t="shared" si="2"/>
        <v>3860430</v>
      </c>
      <c r="G23" s="409">
        <v>3860270</v>
      </c>
      <c r="H23" s="98">
        <v>160</v>
      </c>
      <c r="I23" s="98">
        <f t="shared" si="3"/>
        <v>85</v>
      </c>
      <c r="J23" s="98"/>
      <c r="K23" s="373">
        <v>85</v>
      </c>
      <c r="N23" s="95"/>
      <c r="O23" s="106"/>
      <c r="P23" s="106"/>
    </row>
    <row r="24" spans="2:16" ht="12.75">
      <c r="B24" s="366">
        <v>2005</v>
      </c>
      <c r="C24" s="367">
        <f t="shared" si="0"/>
        <v>3977100.25</v>
      </c>
      <c r="D24" s="411">
        <f t="shared" si="4"/>
        <v>3976856.25</v>
      </c>
      <c r="E24" s="411">
        <f t="shared" si="5"/>
        <v>244</v>
      </c>
      <c r="F24" s="369">
        <f t="shared" si="2"/>
        <v>3977020.25</v>
      </c>
      <c r="G24" s="411">
        <v>3976856.25</v>
      </c>
      <c r="H24" s="369">
        <v>164</v>
      </c>
      <c r="I24" s="369">
        <f t="shared" si="3"/>
        <v>80</v>
      </c>
      <c r="J24" s="369"/>
      <c r="K24" s="370">
        <v>80</v>
      </c>
      <c r="N24" s="95"/>
      <c r="O24" s="106"/>
      <c r="P24" s="106"/>
    </row>
    <row r="25" spans="2:16" ht="12.75">
      <c r="B25" s="314">
        <v>2006</v>
      </c>
      <c r="C25" s="371">
        <f t="shared" si="0"/>
        <v>4165274</v>
      </c>
      <c r="D25" s="409">
        <f t="shared" si="4"/>
        <v>4165037</v>
      </c>
      <c r="E25" s="409">
        <f t="shared" si="5"/>
        <v>237</v>
      </c>
      <c r="F25" s="98">
        <f t="shared" si="2"/>
        <v>4165191</v>
      </c>
      <c r="G25" s="409">
        <v>4165037</v>
      </c>
      <c r="H25" s="98">
        <v>154</v>
      </c>
      <c r="I25" s="98">
        <f t="shared" si="3"/>
        <v>83</v>
      </c>
      <c r="J25" s="98"/>
      <c r="K25" s="373">
        <v>83</v>
      </c>
      <c r="N25" s="95"/>
      <c r="O25" s="106"/>
      <c r="P25" s="106"/>
    </row>
    <row r="26" spans="2:16" ht="12.75">
      <c r="B26" s="366">
        <v>2007</v>
      </c>
      <c r="C26" s="367">
        <f t="shared" si="0"/>
        <v>4359862</v>
      </c>
      <c r="D26" s="411">
        <f t="shared" si="4"/>
        <v>4359612</v>
      </c>
      <c r="E26" s="411">
        <f t="shared" si="5"/>
        <v>250</v>
      </c>
      <c r="F26" s="369">
        <f t="shared" si="2"/>
        <v>4359764</v>
      </c>
      <c r="G26" s="411">
        <v>4359612</v>
      </c>
      <c r="H26" s="369">
        <v>152</v>
      </c>
      <c r="I26" s="369">
        <f t="shared" si="3"/>
        <v>98</v>
      </c>
      <c r="J26" s="369"/>
      <c r="K26" s="370">
        <v>98</v>
      </c>
      <c r="N26" s="95"/>
      <c r="O26" s="106"/>
      <c r="P26" s="106"/>
    </row>
    <row r="27" spans="2:16" ht="12.75">
      <c r="B27" s="314">
        <v>2008</v>
      </c>
      <c r="C27" s="371">
        <f t="shared" si="0"/>
        <v>4624792</v>
      </c>
      <c r="D27" s="409">
        <f t="shared" si="4"/>
        <v>4624534</v>
      </c>
      <c r="E27" s="409">
        <f t="shared" si="5"/>
        <v>258</v>
      </c>
      <c r="F27" s="98">
        <f t="shared" si="2"/>
        <v>4624684</v>
      </c>
      <c r="G27" s="409">
        <v>4624534</v>
      </c>
      <c r="H27" s="98">
        <v>150</v>
      </c>
      <c r="I27" s="98">
        <f t="shared" si="3"/>
        <v>108</v>
      </c>
      <c r="J27" s="98"/>
      <c r="K27" s="373">
        <v>108</v>
      </c>
      <c r="N27" s="95"/>
      <c r="O27" s="106"/>
      <c r="P27" s="106"/>
    </row>
    <row r="28" spans="2:16" ht="12.75">
      <c r="B28" s="366">
        <v>2009</v>
      </c>
      <c r="C28" s="367">
        <f t="shared" si="0"/>
        <v>4878964</v>
      </c>
      <c r="D28" s="411">
        <f t="shared" si="4"/>
        <v>4878695</v>
      </c>
      <c r="E28" s="411">
        <f t="shared" si="5"/>
        <v>269</v>
      </c>
      <c r="F28" s="369">
        <f t="shared" si="2"/>
        <v>4878854</v>
      </c>
      <c r="G28" s="411">
        <v>4878695</v>
      </c>
      <c r="H28" s="369">
        <v>159</v>
      </c>
      <c r="I28" s="369">
        <f t="shared" si="3"/>
        <v>110</v>
      </c>
      <c r="J28" s="369"/>
      <c r="K28" s="370">
        <v>110</v>
      </c>
      <c r="N28" s="95"/>
      <c r="O28" s="106"/>
      <c r="P28" s="106"/>
    </row>
    <row r="29" spans="2:16" ht="12.75">
      <c r="B29" s="314">
        <v>2010</v>
      </c>
      <c r="C29" s="371">
        <f t="shared" si="0"/>
        <v>5170896</v>
      </c>
      <c r="D29" s="409">
        <f t="shared" si="4"/>
        <v>5170638</v>
      </c>
      <c r="E29" s="409">
        <f t="shared" si="5"/>
        <v>258</v>
      </c>
      <c r="F29" s="98">
        <f t="shared" si="2"/>
        <v>5170778</v>
      </c>
      <c r="G29" s="409">
        <v>5170638</v>
      </c>
      <c r="H29" s="98">
        <v>140</v>
      </c>
      <c r="I29" s="98">
        <f t="shared" si="3"/>
        <v>118</v>
      </c>
      <c r="J29" s="98"/>
      <c r="K29" s="373">
        <v>118</v>
      </c>
      <c r="N29" s="95"/>
      <c r="O29" s="106"/>
      <c r="P29" s="106"/>
    </row>
    <row r="30" spans="2:16" ht="12.75">
      <c r="B30" s="366">
        <v>2011</v>
      </c>
      <c r="C30" s="367">
        <f t="shared" si="0"/>
        <v>5497639</v>
      </c>
      <c r="D30" s="411">
        <f t="shared" si="4"/>
        <v>5497367</v>
      </c>
      <c r="E30" s="411">
        <f t="shared" si="5"/>
        <v>272</v>
      </c>
      <c r="F30" s="369">
        <f t="shared" si="2"/>
        <v>5497509</v>
      </c>
      <c r="G30" s="411">
        <v>5497367</v>
      </c>
      <c r="H30" s="369">
        <v>142</v>
      </c>
      <c r="I30" s="369">
        <f t="shared" si="3"/>
        <v>130</v>
      </c>
      <c r="J30" s="369"/>
      <c r="K30" s="370">
        <v>130</v>
      </c>
      <c r="N30" s="95"/>
      <c r="O30" s="106"/>
      <c r="P30" s="106"/>
    </row>
    <row r="31" spans="2:16" ht="13.5" thickBot="1">
      <c r="B31" s="1529"/>
      <c r="C31" s="1530"/>
      <c r="D31" s="1531"/>
      <c r="E31" s="1531"/>
      <c r="F31" s="1532"/>
      <c r="G31" s="1531"/>
      <c r="H31" s="1532"/>
      <c r="I31" s="1532"/>
      <c r="J31" s="1532"/>
      <c r="K31" s="1533"/>
      <c r="N31" s="95"/>
      <c r="O31" s="106"/>
      <c r="P31" s="106"/>
    </row>
    <row r="32" spans="2:11" ht="12.75">
      <c r="B32" s="940" t="s">
        <v>167</v>
      </c>
      <c r="C32" s="415">
        <f>(C30/C29)-1</f>
        <v>0.06318885547108266</v>
      </c>
      <c r="D32" s="415">
        <f>(D30/D29)-1</f>
        <v>0.06318930081742336</v>
      </c>
      <c r="E32" s="415">
        <f>(E30/E29)-1</f>
        <v>0.054263565891472965</v>
      </c>
      <c r="F32" s="941"/>
      <c r="G32" s="941"/>
      <c r="H32" s="941"/>
      <c r="I32" s="941"/>
      <c r="J32" s="663"/>
      <c r="K32" s="663"/>
    </row>
    <row r="33" spans="2:11" ht="12.75">
      <c r="B33" s="379" t="s">
        <v>171</v>
      </c>
      <c r="C33" s="1534">
        <f>((C30/C25)^(1/5))-1</f>
        <v>0.057076769132917926</v>
      </c>
      <c r="D33" s="1534">
        <f>((D30/D25)^(1/5))-1</f>
        <v>0.057078338603173906</v>
      </c>
      <c r="E33" s="1534">
        <f>((E30/E25)^(1/5))-1</f>
        <v>0.02793135039548189</v>
      </c>
      <c r="F33" s="941"/>
      <c r="G33" s="941"/>
      <c r="H33" s="941"/>
      <c r="I33" s="941"/>
      <c r="J33" s="663"/>
      <c r="K33" s="663"/>
    </row>
    <row r="34" spans="2:11" ht="12.75">
      <c r="B34" s="377" t="s">
        <v>169</v>
      </c>
      <c r="C34" s="1535">
        <f>(C30/C19)-1</f>
        <v>0.6400048445666724</v>
      </c>
      <c r="D34" s="1535">
        <f>(D30/D19)-1</f>
        <v>0.640035740070048</v>
      </c>
      <c r="E34" s="1535">
        <f>(E30/E19)-1</f>
        <v>0.18777292576419224</v>
      </c>
      <c r="F34" s="663"/>
      <c r="G34" s="663"/>
      <c r="H34" s="663"/>
      <c r="I34" s="663"/>
      <c r="J34" s="663"/>
      <c r="K34" s="663"/>
    </row>
    <row r="35" spans="2:11" ht="13.5" thickBot="1">
      <c r="B35" s="156" t="s">
        <v>170</v>
      </c>
      <c r="C35" s="1536">
        <f>((C30/C19)^(1/11))-1</f>
        <v>0.045999255796536964</v>
      </c>
      <c r="D35" s="1536">
        <f>((D30/D19)^(1/11))-1</f>
        <v>0.04600104716579145</v>
      </c>
      <c r="E35" s="1536">
        <f>((E30/E19)^(1/11))-1</f>
        <v>0.01576664440046449</v>
      </c>
      <c r="F35" s="663"/>
      <c r="G35" s="252"/>
      <c r="H35" s="663"/>
      <c r="I35" s="663"/>
      <c r="J35" s="663"/>
      <c r="K35" s="663"/>
    </row>
    <row r="36" spans="2:3" ht="12.75">
      <c r="B36" t="s">
        <v>173</v>
      </c>
      <c r="C36" s="1537"/>
    </row>
    <row r="37" spans="2:3" ht="12.75">
      <c r="B37" s="34"/>
      <c r="C37" s="1538"/>
    </row>
    <row r="38" ht="12.75">
      <c r="B38" s="5"/>
    </row>
    <row r="40" spans="15:16" ht="12.75">
      <c r="O40" s="106"/>
      <c r="P40" s="106"/>
    </row>
    <row r="41" spans="15:16" ht="12.75">
      <c r="O41" s="106"/>
      <c r="P41" s="106"/>
    </row>
    <row r="42" spans="15:16" ht="12.75">
      <c r="O42" s="106"/>
      <c r="P42" s="106"/>
    </row>
    <row r="43" spans="15:16" ht="12.75">
      <c r="O43" s="106"/>
      <c r="P43" s="106"/>
    </row>
    <row r="44" spans="15:16" ht="12.75">
      <c r="O44" s="106"/>
      <c r="P44" s="106"/>
    </row>
    <row r="45" spans="15:16" ht="12.75">
      <c r="O45" s="106"/>
      <c r="P45" s="106"/>
    </row>
    <row r="46" spans="15:16" ht="12.75">
      <c r="O46" s="106"/>
      <c r="P46" s="106"/>
    </row>
    <row r="47" spans="15:16" ht="12.75">
      <c r="O47" s="106"/>
      <c r="P47" s="106"/>
    </row>
    <row r="48" spans="15:16" ht="12.75">
      <c r="O48" s="106"/>
      <c r="P48" s="106"/>
    </row>
    <row r="49" spans="14:16" ht="12.75">
      <c r="N49" s="95"/>
      <c r="O49" s="106"/>
      <c r="P49" s="106"/>
    </row>
    <row r="50" spans="14:16" ht="12.75">
      <c r="N50" s="95"/>
      <c r="O50" s="106"/>
      <c r="P50" s="106"/>
    </row>
    <row r="51" spans="14:16" ht="12.75">
      <c r="N51" s="95"/>
      <c r="O51" s="106"/>
      <c r="P51" s="106"/>
    </row>
    <row r="52" spans="14:16" ht="12.75">
      <c r="N52" s="95"/>
      <c r="O52" s="106"/>
      <c r="P52" s="106"/>
    </row>
    <row r="53" spans="14:16" ht="12.75">
      <c r="N53" s="95"/>
      <c r="O53" s="106"/>
      <c r="P53" s="106"/>
    </row>
    <row r="54" spans="14:16" ht="12.75">
      <c r="N54" s="95"/>
      <c r="O54" s="106"/>
      <c r="P54" s="106"/>
    </row>
  </sheetData>
  <sheetProtection password="B728" sheet="1"/>
  <mergeCells count="1">
    <mergeCell ref="C11:E11"/>
  </mergeCells>
  <printOptions/>
  <pageMargins left="0.9" right="0.46" top="0.84" bottom="1" header="0" footer="0"/>
  <pageSetup fitToHeight="1" fitToWidth="1"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8"/>
  <sheetViews>
    <sheetView view="pageBreakPreview" zoomScaleNormal="115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18.28125" style="0" customWidth="1"/>
    <col min="2" max="2" width="15.7109375" style="0" customWidth="1"/>
    <col min="3" max="3" width="14.28125" style="0" customWidth="1"/>
    <col min="4" max="7" width="7.57421875" style="0" customWidth="1"/>
    <col min="8" max="8" width="15.421875" style="0" customWidth="1"/>
    <col min="9" max="11" width="10.140625" style="0" customWidth="1"/>
    <col min="12" max="12" width="11.7109375" style="0" bestFit="1" customWidth="1"/>
    <col min="13" max="13" width="9.00390625" style="0" customWidth="1"/>
    <col min="14" max="14" width="8.57421875" style="0" customWidth="1"/>
    <col min="15" max="15" width="14.28125" style="0" bestFit="1" customWidth="1"/>
    <col min="17" max="17" width="13.57421875" style="0" bestFit="1" customWidth="1"/>
    <col min="18" max="18" width="15.57421875" style="0" bestFit="1" customWidth="1"/>
    <col min="19" max="20" width="10.28125" style="0" bestFit="1" customWidth="1"/>
    <col min="21" max="21" width="9.421875" style="0" customWidth="1"/>
    <col min="22" max="23" width="11.57421875" style="0" bestFit="1" customWidth="1"/>
  </cols>
  <sheetData>
    <row r="2" ht="16.5" customHeight="1"/>
    <row r="3" ht="20.25">
      <c r="A3" s="102"/>
    </row>
    <row r="5" ht="15.75">
      <c r="A5" s="88" t="s">
        <v>119</v>
      </c>
    </row>
    <row r="6" ht="12.75">
      <c r="A6" s="34"/>
    </row>
    <row r="7" ht="13.5" thickBot="1"/>
    <row r="8" spans="1:12" ht="12.75">
      <c r="A8" s="416" t="s">
        <v>47</v>
      </c>
      <c r="B8" s="417" t="s">
        <v>64</v>
      </c>
      <c r="C8" s="1599" t="s">
        <v>113</v>
      </c>
      <c r="D8" s="1600"/>
      <c r="E8" s="1600"/>
      <c r="F8" s="1600"/>
      <c r="G8" s="1600"/>
      <c r="H8" s="1601" t="s">
        <v>118</v>
      </c>
      <c r="I8" s="1602"/>
      <c r="J8" s="1603"/>
      <c r="K8" s="1603"/>
      <c r="L8" s="1604"/>
    </row>
    <row r="9" spans="1:12" ht="13.5" thickBot="1">
      <c r="A9" s="418"/>
      <c r="B9" s="419"/>
      <c r="C9" s="420" t="s">
        <v>68</v>
      </c>
      <c r="D9" s="421" t="s">
        <v>114</v>
      </c>
      <c r="E9" s="420" t="s">
        <v>115</v>
      </c>
      <c r="F9" s="420" t="s">
        <v>116</v>
      </c>
      <c r="G9" s="422" t="s">
        <v>117</v>
      </c>
      <c r="H9" s="423" t="s">
        <v>68</v>
      </c>
      <c r="I9" s="421" t="s">
        <v>114</v>
      </c>
      <c r="J9" s="420" t="s">
        <v>115</v>
      </c>
      <c r="K9" s="420" t="s">
        <v>116</v>
      </c>
      <c r="L9" s="424" t="s">
        <v>117</v>
      </c>
    </row>
    <row r="10" spans="1:12" ht="12.75">
      <c r="A10" s="355"/>
      <c r="B10" s="425"/>
      <c r="C10" s="169"/>
      <c r="D10" s="168"/>
      <c r="E10" s="169"/>
      <c r="F10" s="169"/>
      <c r="G10" s="251"/>
      <c r="H10" s="165"/>
      <c r="I10" s="168"/>
      <c r="J10" s="166"/>
      <c r="K10" s="166"/>
      <c r="L10" s="170"/>
    </row>
    <row r="11" spans="1:16" ht="12.75">
      <c r="A11" s="235">
        <v>1995</v>
      </c>
      <c r="B11" s="426">
        <f>+H11+C11</f>
        <v>2491804</v>
      </c>
      <c r="C11" s="427">
        <f aca="true" t="shared" si="0" ref="C11:C23">SUM(D11:G11)</f>
        <v>175</v>
      </c>
      <c r="D11" s="412">
        <v>4</v>
      </c>
      <c r="E11" s="369">
        <v>24</v>
      </c>
      <c r="F11" s="369">
        <v>145</v>
      </c>
      <c r="G11" s="412">
        <v>2</v>
      </c>
      <c r="H11" s="428">
        <f aca="true" t="shared" si="1" ref="H11:H26">SUM(I11:L11)</f>
        <v>2491629</v>
      </c>
      <c r="I11" s="412"/>
      <c r="J11" s="369">
        <v>13</v>
      </c>
      <c r="K11" s="369">
        <v>3747</v>
      </c>
      <c r="L11" s="429">
        <v>2487869</v>
      </c>
      <c r="M11" s="207"/>
      <c r="N11" s="208"/>
      <c r="O11" s="208"/>
      <c r="P11" s="208"/>
    </row>
    <row r="12" spans="1:16" ht="12.75">
      <c r="A12" s="240">
        <v>1996</v>
      </c>
      <c r="B12" s="430">
        <f aca="true" t="shared" si="2" ref="B12:B24">+H12+C12</f>
        <v>2775675</v>
      </c>
      <c r="C12" s="431">
        <f t="shared" si="0"/>
        <v>161</v>
      </c>
      <c r="D12" s="410">
        <v>3</v>
      </c>
      <c r="E12" s="98">
        <v>20</v>
      </c>
      <c r="F12" s="98">
        <v>137</v>
      </c>
      <c r="G12" s="410">
        <v>1</v>
      </c>
      <c r="H12" s="432">
        <f t="shared" si="1"/>
        <v>2775514</v>
      </c>
      <c r="I12" s="410"/>
      <c r="J12" s="98">
        <v>15</v>
      </c>
      <c r="K12" s="98">
        <v>4866</v>
      </c>
      <c r="L12" s="433">
        <v>2770633</v>
      </c>
      <c r="M12" s="207"/>
      <c r="N12" s="208"/>
      <c r="O12" s="208"/>
      <c r="P12" s="208"/>
    </row>
    <row r="13" spans="1:16" ht="12.75">
      <c r="A13" s="235">
        <v>1997</v>
      </c>
      <c r="B13" s="426">
        <f t="shared" si="2"/>
        <v>2964263</v>
      </c>
      <c r="C13" s="427">
        <f t="shared" si="0"/>
        <v>160</v>
      </c>
      <c r="D13" s="412">
        <v>3</v>
      </c>
      <c r="E13" s="369">
        <v>20</v>
      </c>
      <c r="F13" s="369">
        <v>136</v>
      </c>
      <c r="G13" s="412">
        <v>1</v>
      </c>
      <c r="H13" s="428">
        <f t="shared" si="1"/>
        <v>2964103</v>
      </c>
      <c r="I13" s="412"/>
      <c r="J13" s="369">
        <v>17</v>
      </c>
      <c r="K13" s="369">
        <v>4861</v>
      </c>
      <c r="L13" s="429">
        <v>2959225</v>
      </c>
      <c r="M13" s="207"/>
      <c r="N13" s="208"/>
      <c r="O13" s="208"/>
      <c r="P13" s="208"/>
    </row>
    <row r="14" spans="1:16" ht="12.75">
      <c r="A14" s="240">
        <v>1998</v>
      </c>
      <c r="B14" s="430">
        <f t="shared" si="2"/>
        <v>3057270</v>
      </c>
      <c r="C14" s="431">
        <f>SUM(D14:G14)</f>
        <v>168</v>
      </c>
      <c r="D14" s="410">
        <v>4</v>
      </c>
      <c r="E14" s="98">
        <v>22</v>
      </c>
      <c r="F14" s="98">
        <v>141</v>
      </c>
      <c r="G14" s="410">
        <v>1</v>
      </c>
      <c r="H14" s="432">
        <f t="shared" si="1"/>
        <v>3057102</v>
      </c>
      <c r="I14" s="410"/>
      <c r="J14" s="98">
        <v>13</v>
      </c>
      <c r="K14" s="98">
        <v>5372</v>
      </c>
      <c r="L14" s="433">
        <v>3051717</v>
      </c>
      <c r="M14" s="207"/>
      <c r="N14" s="207"/>
      <c r="O14" s="207"/>
      <c r="P14" s="207"/>
    </row>
    <row r="15" spans="1:16" ht="12.75">
      <c r="A15" s="235">
        <v>1999</v>
      </c>
      <c r="B15" s="426">
        <f t="shared" si="2"/>
        <v>3217011</v>
      </c>
      <c r="C15" s="427">
        <f t="shared" si="0"/>
        <v>176</v>
      </c>
      <c r="D15" s="412">
        <f>3-1</f>
        <v>2</v>
      </c>
      <c r="E15" s="369">
        <v>23</v>
      </c>
      <c r="F15" s="369">
        <f>154-5+1</f>
        <v>150</v>
      </c>
      <c r="G15" s="412">
        <v>1</v>
      </c>
      <c r="H15" s="428">
        <f t="shared" si="1"/>
        <v>3216835</v>
      </c>
      <c r="I15" s="412"/>
      <c r="J15" s="369">
        <v>20</v>
      </c>
      <c r="K15" s="369">
        <v>5774</v>
      </c>
      <c r="L15" s="429">
        <v>3211041</v>
      </c>
      <c r="M15" s="207"/>
      <c r="O15" s="208"/>
      <c r="P15" s="208"/>
    </row>
    <row r="16" spans="1:16" ht="12.75">
      <c r="A16" s="240">
        <v>2000</v>
      </c>
      <c r="B16" s="430">
        <f t="shared" si="2"/>
        <v>3352159</v>
      </c>
      <c r="C16" s="431">
        <f t="shared" si="0"/>
        <v>179</v>
      </c>
      <c r="D16" s="410">
        <v>3</v>
      </c>
      <c r="E16" s="98">
        <f>21-1</f>
        <v>20</v>
      </c>
      <c r="F16" s="98">
        <f>155+1</f>
        <v>156</v>
      </c>
      <c r="G16" s="410">
        <v>0</v>
      </c>
      <c r="H16" s="432">
        <f t="shared" si="1"/>
        <v>3351980</v>
      </c>
      <c r="I16" s="410"/>
      <c r="J16" s="98">
        <v>9</v>
      </c>
      <c r="K16" s="98">
        <v>6259</v>
      </c>
      <c r="L16" s="433">
        <v>3345712</v>
      </c>
      <c r="M16" s="207"/>
      <c r="N16" s="218"/>
      <c r="O16" s="434"/>
      <c r="P16" s="207"/>
    </row>
    <row r="17" spans="1:19" ht="12.75">
      <c r="A17" s="235">
        <v>2001</v>
      </c>
      <c r="B17" s="426">
        <f t="shared" si="2"/>
        <v>3462792</v>
      </c>
      <c r="C17" s="427">
        <f t="shared" si="0"/>
        <v>182</v>
      </c>
      <c r="D17" s="411">
        <v>2</v>
      </c>
      <c r="E17" s="369">
        <v>17</v>
      </c>
      <c r="F17" s="369">
        <v>163</v>
      </c>
      <c r="G17" s="412">
        <v>0</v>
      </c>
      <c r="H17" s="428">
        <f t="shared" si="1"/>
        <v>3462610</v>
      </c>
      <c r="I17" s="411"/>
      <c r="J17" s="369">
        <v>9</v>
      </c>
      <c r="K17" s="369">
        <v>6752</v>
      </c>
      <c r="L17" s="429">
        <v>3455849</v>
      </c>
      <c r="M17" s="207"/>
      <c r="Q17" s="435"/>
      <c r="R17" s="435"/>
      <c r="S17" s="435"/>
    </row>
    <row r="18" spans="1:13" ht="12.75">
      <c r="A18" s="240">
        <v>2002</v>
      </c>
      <c r="B18" s="430">
        <f t="shared" si="2"/>
        <v>3614408</v>
      </c>
      <c r="C18" s="431">
        <f t="shared" si="0"/>
        <v>185</v>
      </c>
      <c r="D18" s="409">
        <v>2</v>
      </c>
      <c r="E18" s="98">
        <v>15</v>
      </c>
      <c r="F18" s="98">
        <v>168</v>
      </c>
      <c r="G18" s="410">
        <v>0</v>
      </c>
      <c r="H18" s="432">
        <f t="shared" si="1"/>
        <v>3614223</v>
      </c>
      <c r="I18" s="409"/>
      <c r="J18" s="98">
        <v>11</v>
      </c>
      <c r="K18" s="98">
        <v>7166</v>
      </c>
      <c r="L18" s="433">
        <v>3607046</v>
      </c>
      <c r="M18" s="207"/>
    </row>
    <row r="19" spans="1:21" ht="12.75">
      <c r="A19" s="235">
        <v>2003</v>
      </c>
      <c r="B19" s="426">
        <f t="shared" si="2"/>
        <v>3727184</v>
      </c>
      <c r="C19" s="427">
        <f t="shared" si="0"/>
        <v>165</v>
      </c>
      <c r="D19" s="411">
        <v>2</v>
      </c>
      <c r="E19" s="369">
        <v>14</v>
      </c>
      <c r="F19" s="369">
        <v>149</v>
      </c>
      <c r="G19" s="412">
        <v>0</v>
      </c>
      <c r="H19" s="428">
        <f t="shared" si="1"/>
        <v>3727019</v>
      </c>
      <c r="I19" s="411"/>
      <c r="J19" s="369">
        <v>12</v>
      </c>
      <c r="K19" s="369">
        <v>7598</v>
      </c>
      <c r="L19" s="429">
        <v>3719409</v>
      </c>
      <c r="M19" s="207"/>
      <c r="R19" s="1304"/>
      <c r="S19" s="1305"/>
      <c r="T19" s="1306"/>
      <c r="U19" s="1306"/>
    </row>
    <row r="20" spans="1:21" ht="12.75">
      <c r="A20" s="240">
        <v>2004</v>
      </c>
      <c r="B20" s="430">
        <f t="shared" si="2"/>
        <v>3860430</v>
      </c>
      <c r="C20" s="431">
        <f t="shared" si="0"/>
        <v>160</v>
      </c>
      <c r="D20" s="409">
        <v>2</v>
      </c>
      <c r="E20" s="98">
        <v>10</v>
      </c>
      <c r="F20" s="98">
        <v>148</v>
      </c>
      <c r="G20" s="410">
        <v>0</v>
      </c>
      <c r="H20" s="432">
        <f t="shared" si="1"/>
        <v>3860270</v>
      </c>
      <c r="I20" s="409"/>
      <c r="J20" s="98">
        <v>19</v>
      </c>
      <c r="K20" s="98">
        <v>8120</v>
      </c>
      <c r="L20" s="433">
        <v>3852131</v>
      </c>
      <c r="M20" s="207"/>
      <c r="R20" s="1304"/>
      <c r="S20" s="1305"/>
      <c r="T20" s="1306"/>
      <c r="U20" s="1306"/>
    </row>
    <row r="21" spans="1:21" ht="12.75">
      <c r="A21" s="235">
        <v>2005</v>
      </c>
      <c r="B21" s="426">
        <f t="shared" si="2"/>
        <v>3977020.25</v>
      </c>
      <c r="C21" s="427">
        <f t="shared" si="0"/>
        <v>164</v>
      </c>
      <c r="D21" s="411">
        <v>2</v>
      </c>
      <c r="E21" s="369">
        <v>14</v>
      </c>
      <c r="F21" s="369">
        <v>148</v>
      </c>
      <c r="G21" s="412">
        <v>0</v>
      </c>
      <c r="H21" s="428">
        <f t="shared" si="1"/>
        <v>3976856.25</v>
      </c>
      <c r="I21" s="411"/>
      <c r="J21" s="369">
        <v>18</v>
      </c>
      <c r="K21" s="369">
        <v>8727</v>
      </c>
      <c r="L21" s="429">
        <v>3968111.25</v>
      </c>
      <c r="M21" s="207"/>
      <c r="R21" s="1304"/>
      <c r="S21" s="1305"/>
      <c r="T21" s="1306"/>
      <c r="U21" s="1306"/>
    </row>
    <row r="22" spans="1:21" ht="12.75">
      <c r="A22" s="240">
        <v>2006</v>
      </c>
      <c r="B22" s="430">
        <f t="shared" si="2"/>
        <v>4165191</v>
      </c>
      <c r="C22" s="431">
        <f>SUM(D22:G22)</f>
        <v>154</v>
      </c>
      <c r="D22" s="409">
        <v>2</v>
      </c>
      <c r="E22" s="98">
        <v>13</v>
      </c>
      <c r="F22" s="98">
        <v>139</v>
      </c>
      <c r="G22" s="410">
        <v>0</v>
      </c>
      <c r="H22" s="432">
        <f t="shared" si="1"/>
        <v>4165037</v>
      </c>
      <c r="I22" s="409"/>
      <c r="J22" s="98">
        <v>22</v>
      </c>
      <c r="K22" s="98">
        <v>9454</v>
      </c>
      <c r="L22" s="433">
        <v>4155561</v>
      </c>
      <c r="M22" s="207"/>
      <c r="R22" s="1304"/>
      <c r="S22" s="1305"/>
      <c r="T22" s="1306"/>
      <c r="U22" s="1306"/>
    </row>
    <row r="23" spans="1:21" ht="12.75">
      <c r="A23" s="235">
        <v>2007</v>
      </c>
      <c r="B23" s="426">
        <f t="shared" si="2"/>
        <v>4359764</v>
      </c>
      <c r="C23" s="427">
        <f t="shared" si="0"/>
        <v>152</v>
      </c>
      <c r="D23" s="411">
        <v>2</v>
      </c>
      <c r="E23" s="369">
        <v>11</v>
      </c>
      <c r="F23" s="369">
        <v>139</v>
      </c>
      <c r="G23" s="412">
        <v>0</v>
      </c>
      <c r="H23" s="428">
        <f t="shared" si="1"/>
        <v>4359612</v>
      </c>
      <c r="I23" s="411"/>
      <c r="J23" s="369">
        <v>25</v>
      </c>
      <c r="K23" s="369">
        <v>10314</v>
      </c>
      <c r="L23" s="429">
        <v>4349273</v>
      </c>
      <c r="M23" s="207"/>
      <c r="R23" s="1307"/>
      <c r="T23" s="1308"/>
      <c r="U23" s="1308"/>
    </row>
    <row r="24" spans="1:21" ht="12.75">
      <c r="A24" s="240">
        <v>2008</v>
      </c>
      <c r="B24" s="430">
        <f t="shared" si="2"/>
        <v>4624684</v>
      </c>
      <c r="C24" s="431">
        <f>SUM(D24:G24)</f>
        <v>150</v>
      </c>
      <c r="D24" s="409">
        <v>2</v>
      </c>
      <c r="E24" s="98">
        <v>10</v>
      </c>
      <c r="F24" s="98">
        <v>138</v>
      </c>
      <c r="G24" s="410">
        <v>0</v>
      </c>
      <c r="H24" s="432">
        <f t="shared" si="1"/>
        <v>4624534</v>
      </c>
      <c r="I24" s="409"/>
      <c r="J24" s="98">
        <v>24</v>
      </c>
      <c r="K24" s="98">
        <v>11422</v>
      </c>
      <c r="L24" s="433">
        <v>4613088</v>
      </c>
      <c r="M24" s="207"/>
      <c r="R24" s="1307"/>
      <c r="T24" s="1308"/>
      <c r="U24" s="1308"/>
    </row>
    <row r="25" spans="1:21" ht="12.75">
      <c r="A25" s="235">
        <v>2009</v>
      </c>
      <c r="B25" s="426">
        <f>+H25+C25</f>
        <v>4878854</v>
      </c>
      <c r="C25" s="427">
        <f>SUM(D25:G25)</f>
        <v>159</v>
      </c>
      <c r="D25" s="411">
        <v>2</v>
      </c>
      <c r="E25" s="369">
        <v>13</v>
      </c>
      <c r="F25" s="369">
        <v>144</v>
      </c>
      <c r="G25" s="412">
        <v>0</v>
      </c>
      <c r="H25" s="428">
        <f t="shared" si="1"/>
        <v>4878695</v>
      </c>
      <c r="I25" s="411"/>
      <c r="J25" s="369">
        <v>22</v>
      </c>
      <c r="K25" s="369">
        <v>12368</v>
      </c>
      <c r="L25" s="429">
        <v>4866305</v>
      </c>
      <c r="M25" s="207"/>
      <c r="R25" s="1307"/>
      <c r="T25" s="1308"/>
      <c r="U25" s="1308"/>
    </row>
    <row r="26" spans="1:21" ht="12.75">
      <c r="A26" s="240">
        <v>2010</v>
      </c>
      <c r="B26" s="437">
        <f>+H26+C26</f>
        <v>5170778</v>
      </c>
      <c r="C26" s="438">
        <f>SUM(D26:G26)</f>
        <v>140</v>
      </c>
      <c r="D26" s="439">
        <v>2</v>
      </c>
      <c r="E26" s="440">
        <v>13</v>
      </c>
      <c r="F26" s="440">
        <v>125</v>
      </c>
      <c r="G26" s="441">
        <v>0</v>
      </c>
      <c r="H26" s="442">
        <f t="shared" si="1"/>
        <v>5170638</v>
      </c>
      <c r="I26" s="439"/>
      <c r="J26" s="440">
        <v>23</v>
      </c>
      <c r="K26" s="440">
        <v>13331</v>
      </c>
      <c r="L26" s="443">
        <v>5157284</v>
      </c>
      <c r="M26" s="207"/>
      <c r="R26" s="1307"/>
      <c r="T26" s="1308"/>
      <c r="U26" s="1308"/>
    </row>
    <row r="27" spans="1:21" s="663" customFormat="1" ht="12.75">
      <c r="A27" s="235">
        <v>2011</v>
      </c>
      <c r="B27" s="426">
        <f>+H27+C27</f>
        <v>5497509</v>
      </c>
      <c r="C27" s="427">
        <f>SUM(D27:G27)</f>
        <v>142</v>
      </c>
      <c r="D27" s="411">
        <v>5</v>
      </c>
      <c r="E27" s="369">
        <v>15</v>
      </c>
      <c r="F27" s="369">
        <v>122</v>
      </c>
      <c r="G27" s="412">
        <v>0</v>
      </c>
      <c r="H27" s="428">
        <f>SUM(I27:L27)</f>
        <v>5497367</v>
      </c>
      <c r="I27" s="411"/>
      <c r="J27" s="369">
        <v>24</v>
      </c>
      <c r="K27" s="369">
        <v>14407</v>
      </c>
      <c r="L27" s="429">
        <v>5482936</v>
      </c>
      <c r="M27" s="943"/>
      <c r="R27" s="1309"/>
      <c r="T27" s="1310"/>
      <c r="U27" s="1310"/>
    </row>
    <row r="28" spans="1:13" s="663" customFormat="1" ht="13.5" thickBot="1">
      <c r="A28" s="944"/>
      <c r="B28" s="945"/>
      <c r="C28" s="438"/>
      <c r="D28" s="439"/>
      <c r="E28" s="946"/>
      <c r="F28" s="946"/>
      <c r="G28" s="441"/>
      <c r="H28" s="947"/>
      <c r="I28" s="948"/>
      <c r="J28" s="946"/>
      <c r="K28" s="946"/>
      <c r="L28" s="949"/>
      <c r="M28" s="943"/>
    </row>
    <row r="29" spans="1:12" s="663" customFormat="1" ht="21" customHeight="1">
      <c r="A29" s="523" t="s">
        <v>167</v>
      </c>
      <c r="B29" s="1311">
        <f>(B27/B26)-1</f>
        <v>0.06318797674160437</v>
      </c>
      <c r="C29" s="1312">
        <f>(C27/C26)-1</f>
        <v>0.014285714285714235</v>
      </c>
      <c r="D29" s="1313"/>
      <c r="E29" s="1313"/>
      <c r="F29" s="1313"/>
      <c r="G29" s="1313"/>
      <c r="H29" s="1314">
        <f>(H27/H26)-1</f>
        <v>0.06318930081742336</v>
      </c>
      <c r="I29" s="448"/>
      <c r="J29" s="448"/>
      <c r="K29" s="1315">
        <f>(K27/K26)-1</f>
        <v>0.08071412497187014</v>
      </c>
      <c r="L29" s="1316">
        <f>(L27/L26)-1</f>
        <v>0.06314408902049995</v>
      </c>
    </row>
    <row r="30" spans="1:12" s="663" customFormat="1" ht="21" customHeight="1">
      <c r="A30" s="951" t="s">
        <v>171</v>
      </c>
      <c r="B30" s="1317">
        <f>((B27/B22)^(1/5))-1</f>
        <v>0.05707598268179459</v>
      </c>
      <c r="C30" s="1318">
        <f>((C27/C22)^(1/5))-1</f>
        <v>-0.016094190891689397</v>
      </c>
      <c r="D30" s="1319"/>
      <c r="E30" s="1319"/>
      <c r="F30" s="1319"/>
      <c r="G30" s="1319"/>
      <c r="H30" s="1320">
        <f>((H27/H22)^(1/5))-1</f>
        <v>0.057078338603173906</v>
      </c>
      <c r="I30" s="200"/>
      <c r="J30" s="200"/>
      <c r="K30" s="1321">
        <f>((K27/K22)^(1/5))-1</f>
        <v>0.08790655026209304</v>
      </c>
      <c r="L30" s="1322">
        <f>((L27/L22)^(1/5))-1</f>
        <v>0.05700417562911064</v>
      </c>
    </row>
    <row r="31" spans="1:12" s="663" customFormat="1" ht="21" customHeight="1">
      <c r="A31" s="952" t="s">
        <v>169</v>
      </c>
      <c r="B31" s="1323">
        <f>(B27/B16)-1</f>
        <v>0.6399905255090823</v>
      </c>
      <c r="C31" s="1324">
        <f>(C27/C16)-1</f>
        <v>-0.2067039106145251</v>
      </c>
      <c r="D31" s="1319"/>
      <c r="E31" s="1319"/>
      <c r="F31" s="1319"/>
      <c r="G31" s="1319"/>
      <c r="H31" s="1325">
        <f>(H27/H16)-1</f>
        <v>0.640035740070048</v>
      </c>
      <c r="I31" s="200"/>
      <c r="J31" s="200"/>
      <c r="K31" s="1326">
        <f>(K27/K16)-1</f>
        <v>1.301805400223678</v>
      </c>
      <c r="L31" s="1327">
        <f>(L27/L16)-1</f>
        <v>0.6387949709957104</v>
      </c>
    </row>
    <row r="32" spans="1:12" s="663" customFormat="1" ht="21" customHeight="1" thickBot="1">
      <c r="A32" s="953" t="s">
        <v>170</v>
      </c>
      <c r="B32" s="1328">
        <f>((B27/B16)^(1/11))-1</f>
        <v>0.04599842554494171</v>
      </c>
      <c r="C32" s="1329">
        <f>((C27/C16)^(1/11))-1</f>
        <v>-0.02083077388297483</v>
      </c>
      <c r="D32" s="200"/>
      <c r="E32" s="200"/>
      <c r="F32" s="200"/>
      <c r="G32" s="200"/>
      <c r="H32" s="1330">
        <f>((H27/H16)^(1/11))-1</f>
        <v>0.04600104716579145</v>
      </c>
      <c r="I32" s="1331"/>
      <c r="J32" s="1331"/>
      <c r="K32" s="1332">
        <f>((K27/K16)^(1/11))-1</f>
        <v>0.07873638567899954</v>
      </c>
      <c r="L32" s="1333">
        <f>((L27/L16)^(1/11))-1</f>
        <v>0.045929081312975795</v>
      </c>
    </row>
    <row r="33" spans="1:12" ht="12.75">
      <c r="A33" s="206"/>
      <c r="B33" s="1334"/>
      <c r="C33" s="1335"/>
      <c r="H33" s="1336"/>
      <c r="I33" s="1337"/>
      <c r="J33" s="1337"/>
      <c r="K33" s="1337"/>
      <c r="L33" s="1337"/>
    </row>
    <row r="34" spans="1:26" ht="12.75">
      <c r="A34" s="34"/>
      <c r="M34" s="207"/>
      <c r="Z34" s="6"/>
    </row>
    <row r="35" spans="2:26" ht="12.75">
      <c r="B35" s="6"/>
      <c r="M35" s="207"/>
      <c r="Z35" s="6"/>
    </row>
    <row r="36" spans="13:26" ht="12.75">
      <c r="M36" s="207"/>
      <c r="Z36" s="6"/>
    </row>
    <row r="37" spans="1:26" ht="12.75">
      <c r="A37" s="79"/>
      <c r="M37" s="207"/>
      <c r="Z37" s="6"/>
    </row>
    <row r="38" spans="13:26" ht="12.75">
      <c r="M38" s="207"/>
      <c r="Z38" s="6"/>
    </row>
    <row r="39" spans="1:26" ht="15.75">
      <c r="A39" s="88" t="s">
        <v>120</v>
      </c>
      <c r="M39" s="207"/>
      <c r="Z39" s="6"/>
    </row>
    <row r="40" spans="1:26" ht="12.75">
      <c r="A40" s="34"/>
      <c r="M40" s="207"/>
      <c r="Z40" s="6"/>
    </row>
    <row r="41" ht="13.5" thickBot="1">
      <c r="M41" s="207"/>
    </row>
    <row r="42" spans="1:6" ht="12.75">
      <c r="A42" s="394" t="s">
        <v>47</v>
      </c>
      <c r="B42" s="453" t="s">
        <v>64</v>
      </c>
      <c r="C42" s="1599" t="s">
        <v>113</v>
      </c>
      <c r="D42" s="1600"/>
      <c r="E42" s="1600"/>
      <c r="F42" s="1605"/>
    </row>
    <row r="43" spans="1:6" ht="13.5" thickBot="1">
      <c r="A43" s="401"/>
      <c r="B43" s="454"/>
      <c r="C43" s="421" t="s">
        <v>114</v>
      </c>
      <c r="D43" s="420" t="s">
        <v>115</v>
      </c>
      <c r="E43" s="420" t="s">
        <v>116</v>
      </c>
      <c r="F43" s="424" t="s">
        <v>117</v>
      </c>
    </row>
    <row r="44" spans="1:6" ht="12.75">
      <c r="A44" s="164"/>
      <c r="B44" s="197"/>
      <c r="C44" s="167"/>
      <c r="D44" s="166"/>
      <c r="E44" s="166"/>
      <c r="F44" s="455"/>
    </row>
    <row r="45" spans="1:8" ht="12.75">
      <c r="A45" s="456">
        <v>1995</v>
      </c>
      <c r="B45" s="457">
        <f aca="true" t="shared" si="3" ref="B45:B61">SUM(C45:F45)</f>
        <v>31</v>
      </c>
      <c r="C45" s="409">
        <v>3</v>
      </c>
      <c r="D45" s="98">
        <v>4</v>
      </c>
      <c r="E45" s="98">
        <v>11</v>
      </c>
      <c r="F45" s="433">
        <v>13</v>
      </c>
      <c r="H45" s="6"/>
    </row>
    <row r="46" spans="1:8" ht="12.75">
      <c r="A46" s="458">
        <v>1996</v>
      </c>
      <c r="B46" s="459">
        <f t="shared" si="3"/>
        <v>38</v>
      </c>
      <c r="C46" s="411">
        <v>5</v>
      </c>
      <c r="D46" s="369">
        <v>8</v>
      </c>
      <c r="E46" s="369">
        <v>16</v>
      </c>
      <c r="F46" s="429">
        <v>9</v>
      </c>
      <c r="H46" s="6"/>
    </row>
    <row r="47" spans="1:8" ht="12.75">
      <c r="A47" s="456">
        <v>1997</v>
      </c>
      <c r="B47" s="457">
        <f t="shared" si="3"/>
        <v>52</v>
      </c>
      <c r="C47" s="409">
        <v>8</v>
      </c>
      <c r="D47" s="98">
        <v>15</v>
      </c>
      <c r="E47" s="98">
        <v>21</v>
      </c>
      <c r="F47" s="433">
        <v>8</v>
      </c>
      <c r="H47" s="6"/>
    </row>
    <row r="48" spans="1:8" ht="12.75">
      <c r="A48" s="458">
        <v>1998</v>
      </c>
      <c r="B48" s="459">
        <f t="shared" si="3"/>
        <v>50</v>
      </c>
      <c r="C48" s="411">
        <v>13</v>
      </c>
      <c r="D48" s="369">
        <v>15</v>
      </c>
      <c r="E48" s="369">
        <v>22</v>
      </c>
      <c r="F48" s="429">
        <v>0</v>
      </c>
      <c r="H48" s="6"/>
    </row>
    <row r="49" spans="1:8" ht="12.75">
      <c r="A49" s="456">
        <v>1999</v>
      </c>
      <c r="B49" s="457">
        <f t="shared" si="3"/>
        <v>47</v>
      </c>
      <c r="C49" s="409">
        <v>11</v>
      </c>
      <c r="D49" s="98">
        <v>18</v>
      </c>
      <c r="E49" s="98">
        <v>18</v>
      </c>
      <c r="F49" s="433">
        <v>0</v>
      </c>
      <c r="H49" s="6"/>
    </row>
    <row r="50" spans="1:8" ht="12.75">
      <c r="A50" s="458">
        <v>2000</v>
      </c>
      <c r="B50" s="459">
        <f t="shared" si="3"/>
        <v>50</v>
      </c>
      <c r="C50" s="411">
        <v>12</v>
      </c>
      <c r="D50" s="369">
        <v>20</v>
      </c>
      <c r="E50" s="369">
        <v>18</v>
      </c>
      <c r="F50" s="429">
        <v>0</v>
      </c>
      <c r="H50" s="6"/>
    </row>
    <row r="51" spans="1:8" ht="12.75">
      <c r="A51" s="456">
        <v>2001</v>
      </c>
      <c r="B51" s="457">
        <f t="shared" si="3"/>
        <v>59</v>
      </c>
      <c r="C51" s="409">
        <v>21</v>
      </c>
      <c r="D51" s="98">
        <v>21</v>
      </c>
      <c r="E51" s="98">
        <v>17</v>
      </c>
      <c r="F51" s="433">
        <v>0</v>
      </c>
      <c r="H51" s="6"/>
    </row>
    <row r="52" spans="1:8" ht="12.75">
      <c r="A52" s="458">
        <v>2002</v>
      </c>
      <c r="B52" s="459">
        <f t="shared" si="3"/>
        <v>76</v>
      </c>
      <c r="C52" s="411">
        <v>30</v>
      </c>
      <c r="D52" s="369">
        <v>26</v>
      </c>
      <c r="E52" s="369">
        <v>20</v>
      </c>
      <c r="F52" s="429">
        <v>0</v>
      </c>
      <c r="H52" s="6"/>
    </row>
    <row r="53" spans="1:8" ht="12.75">
      <c r="A53" s="456">
        <v>2003</v>
      </c>
      <c r="B53" s="457">
        <f t="shared" si="3"/>
        <v>82</v>
      </c>
      <c r="C53" s="409">
        <v>35</v>
      </c>
      <c r="D53" s="98">
        <v>21</v>
      </c>
      <c r="E53" s="98">
        <v>26</v>
      </c>
      <c r="F53" s="433">
        <v>0</v>
      </c>
      <c r="H53" s="6"/>
    </row>
    <row r="54" spans="1:8" ht="12.75">
      <c r="A54" s="458">
        <v>2004</v>
      </c>
      <c r="B54" s="459">
        <f t="shared" si="3"/>
        <v>85</v>
      </c>
      <c r="C54" s="411">
        <v>35</v>
      </c>
      <c r="D54" s="369">
        <v>23</v>
      </c>
      <c r="E54" s="369">
        <v>27</v>
      </c>
      <c r="F54" s="429">
        <v>0</v>
      </c>
      <c r="H54" s="6"/>
    </row>
    <row r="55" spans="1:8" ht="12.75">
      <c r="A55" s="456">
        <v>2005</v>
      </c>
      <c r="B55" s="457">
        <f t="shared" si="3"/>
        <v>80</v>
      </c>
      <c r="C55" s="409">
        <v>34</v>
      </c>
      <c r="D55" s="98">
        <v>22</v>
      </c>
      <c r="E55" s="98">
        <v>24</v>
      </c>
      <c r="F55" s="433">
        <v>0</v>
      </c>
      <c r="H55" s="6"/>
    </row>
    <row r="56" spans="1:8" ht="12.75">
      <c r="A56" s="458">
        <v>2006</v>
      </c>
      <c r="B56" s="459">
        <f t="shared" si="3"/>
        <v>83</v>
      </c>
      <c r="C56" s="411">
        <v>36</v>
      </c>
      <c r="D56" s="369">
        <v>23</v>
      </c>
      <c r="E56" s="369">
        <v>24</v>
      </c>
      <c r="F56" s="429">
        <v>0</v>
      </c>
      <c r="H56" s="6"/>
    </row>
    <row r="57" spans="1:8" ht="12.75">
      <c r="A57" s="456">
        <v>2007</v>
      </c>
      <c r="B57" s="457">
        <f t="shared" si="3"/>
        <v>98</v>
      </c>
      <c r="C57" s="409">
        <v>41</v>
      </c>
      <c r="D57" s="98">
        <v>23</v>
      </c>
      <c r="E57" s="98">
        <v>34</v>
      </c>
      <c r="F57" s="433">
        <v>0</v>
      </c>
      <c r="H57" s="6"/>
    </row>
    <row r="58" spans="1:8" ht="12.75">
      <c r="A58" s="458">
        <v>2008</v>
      </c>
      <c r="B58" s="459">
        <f t="shared" si="3"/>
        <v>108</v>
      </c>
      <c r="C58" s="411">
        <v>42</v>
      </c>
      <c r="D58" s="369">
        <v>24</v>
      </c>
      <c r="E58" s="369">
        <v>42</v>
      </c>
      <c r="F58" s="429">
        <v>0</v>
      </c>
      <c r="H58" s="6"/>
    </row>
    <row r="59" spans="1:8" ht="12.75">
      <c r="A59" s="456">
        <v>2009</v>
      </c>
      <c r="B59" s="457">
        <f t="shared" si="3"/>
        <v>110</v>
      </c>
      <c r="C59" s="409">
        <v>40</v>
      </c>
      <c r="D59" s="98">
        <v>27</v>
      </c>
      <c r="E59" s="98">
        <v>43</v>
      </c>
      <c r="F59" s="433">
        <v>0</v>
      </c>
      <c r="H59" s="6"/>
    </row>
    <row r="60" spans="1:8" ht="12.75">
      <c r="A60" s="458">
        <v>2010</v>
      </c>
      <c r="B60" s="459">
        <f t="shared" si="3"/>
        <v>118</v>
      </c>
      <c r="C60" s="411">
        <v>46</v>
      </c>
      <c r="D60" s="369">
        <v>26</v>
      </c>
      <c r="E60" s="369">
        <v>46</v>
      </c>
      <c r="F60" s="429">
        <v>0</v>
      </c>
      <c r="H60" s="6"/>
    </row>
    <row r="61" spans="1:8" ht="12.75">
      <c r="A61" s="831">
        <v>2011</v>
      </c>
      <c r="B61" s="457">
        <f t="shared" si="3"/>
        <v>130</v>
      </c>
      <c r="C61" s="439">
        <v>46</v>
      </c>
      <c r="D61" s="440">
        <v>29</v>
      </c>
      <c r="E61" s="440">
        <v>55</v>
      </c>
      <c r="F61" s="440">
        <v>0</v>
      </c>
      <c r="H61" s="6"/>
    </row>
    <row r="62" spans="1:8" ht="13.5" thickBot="1">
      <c r="A62" s="458"/>
      <c r="B62" s="459"/>
      <c r="C62" s="445"/>
      <c r="D62" s="444"/>
      <c r="E62" s="444"/>
      <c r="F62" s="446"/>
      <c r="H62" s="6"/>
    </row>
    <row r="63" spans="1:6" ht="21" customHeight="1">
      <c r="A63" s="447" t="s">
        <v>167</v>
      </c>
      <c r="B63" s="1338">
        <f>(B61/B60)-1</f>
        <v>0.10169491525423724</v>
      </c>
      <c r="C63" s="448"/>
      <c r="D63" s="448"/>
      <c r="E63" s="448"/>
      <c r="F63" s="448"/>
    </row>
    <row r="64" spans="1:6" ht="21" customHeight="1">
      <c r="A64" s="449" t="s">
        <v>171</v>
      </c>
      <c r="B64" s="1288">
        <f>((B61/B56)^(1/5))-1</f>
        <v>0.09388848828161223</v>
      </c>
      <c r="C64" s="200"/>
      <c r="D64" s="200"/>
      <c r="E64" s="200"/>
      <c r="F64" s="200"/>
    </row>
    <row r="65" spans="1:6" ht="21" customHeight="1">
      <c r="A65" s="451" t="s">
        <v>169</v>
      </c>
      <c r="B65" s="1339">
        <f>(B61/B50)-1</f>
        <v>1.6</v>
      </c>
      <c r="C65" s="200"/>
      <c r="D65" s="200"/>
      <c r="E65" s="200"/>
      <c r="F65" s="200"/>
    </row>
    <row r="66" spans="1:6" ht="21" customHeight="1" thickBot="1">
      <c r="A66" s="452" t="s">
        <v>170</v>
      </c>
      <c r="B66" s="1340">
        <f>((B61/B50)^(1/11))-1</f>
        <v>0.09074906609926159</v>
      </c>
      <c r="C66" s="200"/>
      <c r="D66" s="200"/>
      <c r="E66" s="200"/>
      <c r="F66" s="200"/>
    </row>
    <row r="67" spans="1:2" ht="12.75">
      <c r="A67" s="206"/>
      <c r="B67" s="1334"/>
    </row>
    <row r="68" ht="12.75">
      <c r="A68" s="34"/>
    </row>
  </sheetData>
  <sheetProtection password="B728" sheet="1"/>
  <mergeCells count="3">
    <mergeCell ref="C8:G8"/>
    <mergeCell ref="H8:L8"/>
    <mergeCell ref="C42:F42"/>
  </mergeCells>
  <printOptions/>
  <pageMargins left="0.83" right="0.59" top="0.94" bottom="1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9"/>
  <sheetViews>
    <sheetView view="pageBreakPreview" zoomScaleNormal="55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5.0039062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</cols>
  <sheetData>
    <row r="6" ht="20.25">
      <c r="A6" s="102" t="s">
        <v>177</v>
      </c>
    </row>
    <row r="8" spans="3:11" ht="15">
      <c r="C8" s="103"/>
      <c r="D8" s="103"/>
      <c r="E8" s="103"/>
      <c r="F8" s="103"/>
      <c r="G8" s="103"/>
      <c r="H8" s="104"/>
      <c r="I8" s="104"/>
      <c r="J8" s="104"/>
      <c r="K8" s="104"/>
    </row>
    <row r="9" spans="2:11" ht="18">
      <c r="B9" s="10" t="s">
        <v>121</v>
      </c>
      <c r="K9" s="15"/>
    </row>
    <row r="11" spans="2:11" ht="12.75">
      <c r="B11" s="1606" t="s">
        <v>47</v>
      </c>
      <c r="C11" s="1608" t="s">
        <v>122</v>
      </c>
      <c r="D11" s="1609"/>
      <c r="E11" s="1610"/>
      <c r="F11" s="1608" t="s">
        <v>108</v>
      </c>
      <c r="G11" s="1609"/>
      <c r="H11" s="1609"/>
      <c r="I11" s="1611" t="s">
        <v>109</v>
      </c>
      <c r="J11" s="1609"/>
      <c r="K11" s="1610"/>
    </row>
    <row r="12" spans="2:11" ht="12.75">
      <c r="B12" s="1607"/>
      <c r="C12" s="460" t="s">
        <v>55</v>
      </c>
      <c r="D12" s="461" t="s">
        <v>110</v>
      </c>
      <c r="E12" s="462" t="s">
        <v>111</v>
      </c>
      <c r="F12" s="463" t="s">
        <v>112</v>
      </c>
      <c r="G12" s="461" t="s">
        <v>110</v>
      </c>
      <c r="H12" s="464" t="s">
        <v>111</v>
      </c>
      <c r="I12" s="465" t="s">
        <v>55</v>
      </c>
      <c r="J12" s="461" t="s">
        <v>110</v>
      </c>
      <c r="K12" s="462" t="s">
        <v>111</v>
      </c>
    </row>
    <row r="13" spans="2:11" ht="12.75">
      <c r="B13" s="466"/>
      <c r="C13" s="467"/>
      <c r="D13" s="468"/>
      <c r="E13" s="469"/>
      <c r="F13" s="470"/>
      <c r="G13" s="468"/>
      <c r="H13" s="471"/>
      <c r="I13" s="472"/>
      <c r="J13" s="468"/>
      <c r="K13" s="469"/>
    </row>
    <row r="14" spans="2:11" ht="12.75">
      <c r="B14" s="473"/>
      <c r="C14" s="474"/>
      <c r="D14" s="475"/>
      <c r="E14" s="476"/>
      <c r="F14" s="477"/>
      <c r="G14" s="475"/>
      <c r="H14" s="478"/>
      <c r="I14" s="479"/>
      <c r="J14" s="475"/>
      <c r="K14" s="476"/>
    </row>
    <row r="15" spans="2:16" ht="12.75">
      <c r="B15" s="235">
        <v>1995</v>
      </c>
      <c r="C15" s="480">
        <f aca="true" t="shared" si="0" ref="C15:C30">SUM(D15:E15)</f>
        <v>9849.256128000005</v>
      </c>
      <c r="D15" s="481">
        <f aca="true" t="shared" si="1" ref="D15:E30">SUM(G15,J15)</f>
        <v>6430.384862000004</v>
      </c>
      <c r="E15" s="482">
        <f t="shared" si="1"/>
        <v>3418.8712659999997</v>
      </c>
      <c r="F15" s="483">
        <f aca="true" t="shared" si="2" ref="F15:F30">SUM(G15:H15)</f>
        <v>8673.708087000005</v>
      </c>
      <c r="G15" s="481">
        <v>6430.384862000004</v>
      </c>
      <c r="H15" s="484">
        <v>2243.3232249999996</v>
      </c>
      <c r="I15" s="485">
        <f aca="true" t="shared" si="3" ref="I15:I30">SUM(J15:K15)</f>
        <v>1175.548041</v>
      </c>
      <c r="J15" s="481"/>
      <c r="K15" s="482">
        <v>1175.548041</v>
      </c>
      <c r="L15" s="24"/>
      <c r="M15" s="13"/>
      <c r="O15" s="106"/>
      <c r="P15" s="106"/>
    </row>
    <row r="16" spans="2:16" ht="12.75">
      <c r="B16" s="240">
        <v>1996</v>
      </c>
      <c r="C16" s="408">
        <f t="shared" si="0"/>
        <v>10330.839597999991</v>
      </c>
      <c r="D16" s="486">
        <f t="shared" si="1"/>
        <v>6781.815841999992</v>
      </c>
      <c r="E16" s="487">
        <f t="shared" si="1"/>
        <v>3549.0237560000005</v>
      </c>
      <c r="F16" s="488">
        <f t="shared" si="2"/>
        <v>8770.610735999991</v>
      </c>
      <c r="G16" s="486">
        <v>6781.815841999992</v>
      </c>
      <c r="H16" s="489">
        <v>1988.7948940000003</v>
      </c>
      <c r="I16" s="490">
        <f t="shared" si="3"/>
        <v>1560.228862</v>
      </c>
      <c r="J16" s="486"/>
      <c r="K16" s="487">
        <v>1560.228862</v>
      </c>
      <c r="L16" s="24"/>
      <c r="M16" s="13"/>
      <c r="O16" s="106"/>
      <c r="P16" s="106"/>
    </row>
    <row r="17" spans="2:16" ht="12.75">
      <c r="B17" s="235">
        <v>1997</v>
      </c>
      <c r="C17" s="480">
        <f t="shared" si="0"/>
        <v>12451.230159999992</v>
      </c>
      <c r="D17" s="481">
        <f t="shared" si="1"/>
        <v>7291.649441999992</v>
      </c>
      <c r="E17" s="482">
        <f t="shared" si="1"/>
        <v>5159.580717999999</v>
      </c>
      <c r="F17" s="483">
        <f t="shared" si="2"/>
        <v>9377.89467999999</v>
      </c>
      <c r="G17" s="481">
        <v>7291.649441999992</v>
      </c>
      <c r="H17" s="484">
        <v>2086.2452379999995</v>
      </c>
      <c r="I17" s="485">
        <f t="shared" si="3"/>
        <v>3073.3354799999997</v>
      </c>
      <c r="J17" s="481"/>
      <c r="K17" s="482">
        <v>3073.3354799999997</v>
      </c>
      <c r="L17" s="24"/>
      <c r="M17" s="491"/>
      <c r="O17" s="106"/>
      <c r="P17" s="106"/>
    </row>
    <row r="18" spans="2:16" ht="12.75">
      <c r="B18" s="240">
        <v>1998</v>
      </c>
      <c r="C18" s="408">
        <f t="shared" si="0"/>
        <v>14008.576822999998</v>
      </c>
      <c r="D18" s="486">
        <f t="shared" si="1"/>
        <v>7755.838101999997</v>
      </c>
      <c r="E18" s="487">
        <f t="shared" si="1"/>
        <v>6252.738721000001</v>
      </c>
      <c r="F18" s="488">
        <f t="shared" si="2"/>
        <v>9878.661572999998</v>
      </c>
      <c r="G18" s="486">
        <v>7755.838101999997</v>
      </c>
      <c r="H18" s="489">
        <v>2122.8234709999997</v>
      </c>
      <c r="I18" s="490">
        <f t="shared" si="3"/>
        <v>4129.915250000001</v>
      </c>
      <c r="J18" s="486"/>
      <c r="K18" s="487">
        <v>4129.915250000001</v>
      </c>
      <c r="L18" s="24"/>
      <c r="M18" s="13"/>
      <c r="O18" s="106"/>
      <c r="P18" s="106"/>
    </row>
    <row r="19" spans="2:16" ht="12.75">
      <c r="B19" s="235">
        <v>1999</v>
      </c>
      <c r="C19" s="480">
        <f t="shared" si="0"/>
        <v>14591.89155900001</v>
      </c>
      <c r="D19" s="481">
        <f t="shared" si="1"/>
        <v>8071.873335000011</v>
      </c>
      <c r="E19" s="482">
        <f t="shared" si="1"/>
        <v>6520.0182239999995</v>
      </c>
      <c r="F19" s="483">
        <f t="shared" si="2"/>
        <v>10198.89102700001</v>
      </c>
      <c r="G19" s="481">
        <v>8071.873335000011</v>
      </c>
      <c r="H19" s="484">
        <v>2127.017692</v>
      </c>
      <c r="I19" s="485">
        <f t="shared" si="3"/>
        <v>4393.000532</v>
      </c>
      <c r="J19" s="481"/>
      <c r="K19" s="482">
        <v>4393.000532</v>
      </c>
      <c r="L19" s="24"/>
      <c r="M19" s="13"/>
      <c r="O19" s="106"/>
      <c r="P19" s="106"/>
    </row>
    <row r="20" spans="2:16" ht="12.75">
      <c r="B20" s="240">
        <v>2000</v>
      </c>
      <c r="C20" s="408">
        <f t="shared" si="0"/>
        <v>15545.595392000014</v>
      </c>
      <c r="D20" s="486">
        <f t="shared" si="1"/>
        <v>8406.778280000013</v>
      </c>
      <c r="E20" s="487">
        <f t="shared" si="1"/>
        <v>7138.817112000001</v>
      </c>
      <c r="F20" s="488">
        <f t="shared" si="2"/>
        <v>10763.269271000014</v>
      </c>
      <c r="G20" s="486">
        <v>8406.778280000013</v>
      </c>
      <c r="H20" s="489">
        <v>2356.490991</v>
      </c>
      <c r="I20" s="490">
        <f t="shared" si="3"/>
        <v>4782.326121</v>
      </c>
      <c r="J20" s="492"/>
      <c r="K20" s="487">
        <v>4782.326121</v>
      </c>
      <c r="L20" s="24"/>
      <c r="M20" s="13"/>
      <c r="O20" s="106"/>
      <c r="P20" s="106"/>
    </row>
    <row r="21" spans="2:16" ht="12.75">
      <c r="B21" s="235">
        <v>2001</v>
      </c>
      <c r="C21" s="480">
        <f t="shared" si="0"/>
        <v>16628.75454499999</v>
      </c>
      <c r="D21" s="481">
        <f t="shared" si="1"/>
        <v>8654.853232999987</v>
      </c>
      <c r="E21" s="482">
        <f t="shared" si="1"/>
        <v>7973.901312</v>
      </c>
      <c r="F21" s="483">
        <f t="shared" si="2"/>
        <v>10522.374724999987</v>
      </c>
      <c r="G21" s="481">
        <v>8654.853232999987</v>
      </c>
      <c r="H21" s="484">
        <v>1867.5214919999999</v>
      </c>
      <c r="I21" s="485">
        <f t="shared" si="3"/>
        <v>6106.37982</v>
      </c>
      <c r="J21" s="493"/>
      <c r="K21" s="482">
        <v>6106.37982</v>
      </c>
      <c r="L21" s="24"/>
      <c r="M21" s="13"/>
      <c r="O21" s="106"/>
      <c r="P21" s="106"/>
    </row>
    <row r="22" spans="2:16" ht="12.75">
      <c r="B22" s="240">
        <v>2002</v>
      </c>
      <c r="C22" s="408">
        <f t="shared" si="0"/>
        <v>17605.325913848</v>
      </c>
      <c r="D22" s="486">
        <f t="shared" si="1"/>
        <v>9221.888807000001</v>
      </c>
      <c r="E22" s="487">
        <f t="shared" si="1"/>
        <v>8383.437106848</v>
      </c>
      <c r="F22" s="488">
        <f t="shared" si="2"/>
        <v>11113.547163000001</v>
      </c>
      <c r="G22" s="486">
        <v>9221.888807000001</v>
      </c>
      <c r="H22" s="489">
        <v>1891.6583559999997</v>
      </c>
      <c r="I22" s="490">
        <f t="shared" si="3"/>
        <v>6491.778750848</v>
      </c>
      <c r="J22" s="492"/>
      <c r="K22" s="487">
        <v>6491.778750848</v>
      </c>
      <c r="L22" s="24"/>
      <c r="N22" s="95"/>
      <c r="O22" s="106"/>
      <c r="P22" s="106"/>
    </row>
    <row r="23" spans="2:16" ht="12.75">
      <c r="B23" s="235">
        <v>2003</v>
      </c>
      <c r="C23" s="480">
        <f>SUM(D23:E23)</f>
        <v>18375.33541</v>
      </c>
      <c r="D23" s="481">
        <f t="shared" si="1"/>
        <v>9610.790289</v>
      </c>
      <c r="E23" s="482">
        <f t="shared" si="1"/>
        <v>8764.545121000001</v>
      </c>
      <c r="F23" s="483">
        <f t="shared" si="2"/>
        <v>11303.613573</v>
      </c>
      <c r="G23" s="481">
        <v>9610.790289</v>
      </c>
      <c r="H23" s="484">
        <v>1692.823284</v>
      </c>
      <c r="I23" s="485">
        <f>SUM(J23:K23)</f>
        <v>7071.721837000001</v>
      </c>
      <c r="J23" s="493"/>
      <c r="K23" s="482">
        <v>7071.721837000001</v>
      </c>
      <c r="L23" s="494"/>
      <c r="O23" s="106"/>
      <c r="P23" s="106"/>
    </row>
    <row r="24" spans="2:16" ht="12.75">
      <c r="B24" s="240">
        <v>2004</v>
      </c>
      <c r="C24" s="408">
        <f t="shared" si="0"/>
        <v>19640.65111</v>
      </c>
      <c r="D24" s="486">
        <f t="shared" si="1"/>
        <v>10352.511363000001</v>
      </c>
      <c r="E24" s="487">
        <f t="shared" si="1"/>
        <v>9288.139747</v>
      </c>
      <c r="F24" s="488">
        <f t="shared" si="2"/>
        <v>12001.305316000002</v>
      </c>
      <c r="G24" s="486">
        <v>10352.511363000001</v>
      </c>
      <c r="H24" s="489">
        <v>1648.793953</v>
      </c>
      <c r="I24" s="490">
        <f t="shared" si="3"/>
        <v>7639.345794</v>
      </c>
      <c r="J24" s="492"/>
      <c r="K24" s="487">
        <v>7639.345794</v>
      </c>
      <c r="L24" s="24"/>
      <c r="N24" s="95"/>
      <c r="O24" s="106"/>
      <c r="P24" s="106"/>
    </row>
    <row r="25" spans="2:16" ht="12.75">
      <c r="B25" s="235">
        <v>2005</v>
      </c>
      <c r="C25" s="480">
        <f t="shared" si="0"/>
        <v>20701.382880222223</v>
      </c>
      <c r="D25" s="481">
        <f t="shared" si="1"/>
        <v>11150.106846222223</v>
      </c>
      <c r="E25" s="482">
        <f t="shared" si="1"/>
        <v>9551.276034</v>
      </c>
      <c r="F25" s="483">
        <f t="shared" si="2"/>
        <v>12914.287800222222</v>
      </c>
      <c r="G25" s="481">
        <v>11150.106846222223</v>
      </c>
      <c r="H25" s="484">
        <v>1764.180954</v>
      </c>
      <c r="I25" s="485">
        <f t="shared" si="3"/>
        <v>7787.095080000001</v>
      </c>
      <c r="J25" s="493"/>
      <c r="K25" s="482">
        <v>7787.095080000001</v>
      </c>
      <c r="L25" s="24"/>
      <c r="O25" s="106"/>
      <c r="P25" s="106"/>
    </row>
    <row r="26" spans="2:16" ht="12.75">
      <c r="B26" s="240">
        <v>2006</v>
      </c>
      <c r="C26" s="408">
        <f t="shared" si="0"/>
        <v>22290.061152999995</v>
      </c>
      <c r="D26" s="486">
        <f>SUM(G26,J26)</f>
        <v>12169.514937999998</v>
      </c>
      <c r="E26" s="487">
        <f>SUM(H26,K26)</f>
        <v>10120.546214999998</v>
      </c>
      <c r="F26" s="488">
        <f t="shared" si="2"/>
        <v>14043.638326999999</v>
      </c>
      <c r="G26" s="486">
        <v>12169.514937999998</v>
      </c>
      <c r="H26" s="489">
        <v>1874.1233889999999</v>
      </c>
      <c r="I26" s="490">
        <f t="shared" si="3"/>
        <v>8246.422825999998</v>
      </c>
      <c r="J26" s="492"/>
      <c r="K26" s="487">
        <v>8246.422825999998</v>
      </c>
      <c r="L26" s="24"/>
      <c r="N26" s="95"/>
      <c r="O26" s="106"/>
      <c r="P26" s="106"/>
    </row>
    <row r="27" spans="2:16" ht="12.75">
      <c r="B27" s="235">
        <v>2007</v>
      </c>
      <c r="C27" s="480">
        <f t="shared" si="0"/>
        <v>24721.748553</v>
      </c>
      <c r="D27" s="481">
        <f t="shared" si="1"/>
        <v>13346.184469</v>
      </c>
      <c r="E27" s="482">
        <f t="shared" si="1"/>
        <v>11375.564084000001</v>
      </c>
      <c r="F27" s="495">
        <f t="shared" si="2"/>
        <v>15032.180855</v>
      </c>
      <c r="G27" s="481">
        <v>13346.184469</v>
      </c>
      <c r="H27" s="484">
        <v>1685.996386</v>
      </c>
      <c r="I27" s="485">
        <f t="shared" si="3"/>
        <v>9689.567698</v>
      </c>
      <c r="J27" s="493"/>
      <c r="K27" s="482">
        <v>9689.567698</v>
      </c>
      <c r="L27" s="24"/>
      <c r="N27" s="95"/>
      <c r="O27" s="106"/>
      <c r="P27" s="106"/>
    </row>
    <row r="28" spans="2:16" ht="12.75">
      <c r="B28" s="240">
        <v>2008</v>
      </c>
      <c r="C28" s="408">
        <f t="shared" si="0"/>
        <v>26964.414596000002</v>
      </c>
      <c r="D28" s="486">
        <f t="shared" si="1"/>
        <v>14569.444074000001</v>
      </c>
      <c r="E28" s="487">
        <f t="shared" si="1"/>
        <v>12394.970522</v>
      </c>
      <c r="F28" s="496">
        <f t="shared" si="2"/>
        <v>16297.176545</v>
      </c>
      <c r="G28" s="486">
        <v>14569.444074000001</v>
      </c>
      <c r="H28" s="489">
        <v>1727.732471</v>
      </c>
      <c r="I28" s="490">
        <f t="shared" si="3"/>
        <v>10667.238051</v>
      </c>
      <c r="J28" s="492"/>
      <c r="K28" s="487">
        <v>10667.238051</v>
      </c>
      <c r="L28" s="24"/>
      <c r="N28" s="95"/>
      <c r="O28" s="106"/>
      <c r="P28" s="106"/>
    </row>
    <row r="29" spans="2:16" ht="12.75">
      <c r="B29" s="235">
        <v>2009</v>
      </c>
      <c r="C29" s="480">
        <f t="shared" si="0"/>
        <v>27087.005776999995</v>
      </c>
      <c r="D29" s="481">
        <f t="shared" si="1"/>
        <v>15204.704771999996</v>
      </c>
      <c r="E29" s="482">
        <f t="shared" si="1"/>
        <v>11882.301005</v>
      </c>
      <c r="F29" s="495">
        <f t="shared" si="2"/>
        <v>17000.664144999995</v>
      </c>
      <c r="G29" s="481">
        <v>15204.704771999996</v>
      </c>
      <c r="H29" s="484">
        <v>1795.9593729999997</v>
      </c>
      <c r="I29" s="485">
        <f t="shared" si="3"/>
        <v>10086.341632</v>
      </c>
      <c r="J29" s="493"/>
      <c r="K29" s="482">
        <v>10086.341632</v>
      </c>
      <c r="L29" s="24"/>
      <c r="N29" s="95"/>
      <c r="O29" s="106"/>
      <c r="P29" s="106"/>
    </row>
    <row r="30" spans="2:16" ht="12.75">
      <c r="B30" s="240">
        <v>2010</v>
      </c>
      <c r="C30" s="408">
        <f t="shared" si="0"/>
        <v>29436.175124</v>
      </c>
      <c r="D30" s="486">
        <f t="shared" si="1"/>
        <v>16430.850569000002</v>
      </c>
      <c r="E30" s="487">
        <f t="shared" si="1"/>
        <v>13005.324555</v>
      </c>
      <c r="F30" s="496">
        <f t="shared" si="2"/>
        <v>18195.325098</v>
      </c>
      <c r="G30" s="486">
        <v>16430.850569000002</v>
      </c>
      <c r="H30" s="489">
        <v>1764.474529</v>
      </c>
      <c r="I30" s="490">
        <f t="shared" si="3"/>
        <v>11240.850026</v>
      </c>
      <c r="J30" s="492"/>
      <c r="K30" s="487">
        <v>11240.850026</v>
      </c>
      <c r="L30" s="24"/>
      <c r="N30" s="95"/>
      <c r="O30" s="106"/>
      <c r="P30" s="106"/>
    </row>
    <row r="31" spans="2:16" ht="12.75">
      <c r="B31" s="235">
        <v>2011</v>
      </c>
      <c r="C31" s="480">
        <f>SUM(D31:E31)</f>
        <v>31795.547938</v>
      </c>
      <c r="D31" s="481">
        <f>SUM(G31,J31)</f>
        <v>17882.465158</v>
      </c>
      <c r="E31" s="482">
        <f>SUM(H31,K31)</f>
        <v>13913.08278</v>
      </c>
      <c r="F31" s="495">
        <f>SUM(G31:H31)</f>
        <v>19744.523815</v>
      </c>
      <c r="G31" s="481">
        <v>17882.465158</v>
      </c>
      <c r="H31" s="484">
        <v>1862.058657</v>
      </c>
      <c r="I31" s="485">
        <f>SUM(J31:K31)</f>
        <v>12051.024123000001</v>
      </c>
      <c r="J31" s="493"/>
      <c r="K31" s="482">
        <v>12051.024123000001</v>
      </c>
      <c r="L31" s="24"/>
      <c r="N31" s="95"/>
      <c r="O31" s="106"/>
      <c r="P31" s="106"/>
    </row>
    <row r="32" spans="2:16" ht="13.5" thickBot="1">
      <c r="B32" s="240"/>
      <c r="C32" s="408"/>
      <c r="D32" s="486"/>
      <c r="E32" s="487"/>
      <c r="F32" s="496"/>
      <c r="G32" s="486"/>
      <c r="H32" s="489"/>
      <c r="I32" s="490"/>
      <c r="J32" s="497"/>
      <c r="K32" s="487"/>
      <c r="L32" s="24"/>
      <c r="N32" s="95"/>
      <c r="O32" s="106"/>
      <c r="P32" s="106"/>
    </row>
    <row r="33" spans="2:11" ht="12.75" customHeight="1">
      <c r="B33" s="376" t="s">
        <v>167</v>
      </c>
      <c r="C33" s="1272">
        <f>(C31/C30)-1</f>
        <v>0.08015215305864754</v>
      </c>
      <c r="D33" s="1246">
        <f aca="true" t="shared" si="4" ref="D33:I33">(D31/D30)-1</f>
        <v>0.088346892505903</v>
      </c>
      <c r="E33" s="1273">
        <f t="shared" si="4"/>
        <v>0.06979896742761471</v>
      </c>
      <c r="F33" s="1274">
        <f t="shared" si="4"/>
        <v>0.0851426786087095</v>
      </c>
      <c r="G33" s="1275">
        <f t="shared" si="4"/>
        <v>0.088346892505903</v>
      </c>
      <c r="H33" s="1276">
        <f t="shared" si="4"/>
        <v>0.055304923021646024</v>
      </c>
      <c r="I33" s="1277">
        <f t="shared" si="4"/>
        <v>0.0720740953865655</v>
      </c>
      <c r="J33" s="1278"/>
      <c r="K33" s="1279">
        <f>(K31/K30)-1</f>
        <v>0.0720740953865655</v>
      </c>
    </row>
    <row r="34" spans="2:11" ht="12.75" customHeight="1">
      <c r="B34" s="377" t="s">
        <v>171</v>
      </c>
      <c r="C34" s="1280">
        <f>((C31/C26)^(1/5))-1</f>
        <v>0.07362103223347427</v>
      </c>
      <c r="D34" s="1239">
        <f aca="true" t="shared" si="5" ref="D34:I34">((D31/D26)^(1/5))-1</f>
        <v>0.08001757777317287</v>
      </c>
      <c r="E34" s="1281">
        <f t="shared" si="5"/>
        <v>0.06572188271854507</v>
      </c>
      <c r="F34" s="1282">
        <f t="shared" si="5"/>
        <v>0.07051659873324945</v>
      </c>
      <c r="G34" s="1283">
        <f t="shared" si="5"/>
        <v>0.08001757777317287</v>
      </c>
      <c r="H34" s="1284">
        <f t="shared" si="5"/>
        <v>-0.0012908348998811325</v>
      </c>
      <c r="I34" s="1285">
        <f t="shared" si="5"/>
        <v>0.07882666285009132</v>
      </c>
      <c r="J34" s="1286"/>
      <c r="K34" s="1287">
        <f>((K31/K26)^(1/5))-1</f>
        <v>0.07882666285009132</v>
      </c>
    </row>
    <row r="35" spans="2:11" ht="12.75" customHeight="1">
      <c r="B35" s="379" t="s">
        <v>169</v>
      </c>
      <c r="C35" s="1288">
        <f>(C31/C18)-1</f>
        <v>1.269720067908429</v>
      </c>
      <c r="D35" s="1234">
        <f aca="true" t="shared" si="6" ref="D35:I35">(D31/D18)-1</f>
        <v>1.3056779838388644</v>
      </c>
      <c r="E35" s="1289">
        <f t="shared" si="6"/>
        <v>1.22511820832566</v>
      </c>
      <c r="F35" s="1290">
        <f t="shared" si="6"/>
        <v>0.9987043456337266</v>
      </c>
      <c r="G35" s="1291">
        <f t="shared" si="6"/>
        <v>1.3056779838388644</v>
      </c>
      <c r="H35" s="1292">
        <f t="shared" si="6"/>
        <v>-0.12283867102579238</v>
      </c>
      <c r="I35" s="1293">
        <f t="shared" si="6"/>
        <v>1.91798339517984</v>
      </c>
      <c r="J35" s="1294"/>
      <c r="K35" s="1295">
        <f>(K31/K18)-1</f>
        <v>1.91798339517984</v>
      </c>
    </row>
    <row r="36" spans="2:11" ht="12.75" customHeight="1" thickBot="1">
      <c r="B36" s="381" t="s">
        <v>170</v>
      </c>
      <c r="C36" s="1296">
        <f>((C31/C18)^(1/11))-1</f>
        <v>0.077360671884104</v>
      </c>
      <c r="D36" s="1224">
        <f aca="true" t="shared" si="7" ref="D36:I36">((D31/D18)^(1/11))-1</f>
        <v>0.07890124858501535</v>
      </c>
      <c r="E36" s="1297">
        <f t="shared" si="7"/>
        <v>0.07541862435069424</v>
      </c>
      <c r="F36" s="1298">
        <f t="shared" si="7"/>
        <v>0.0649783470923413</v>
      </c>
      <c r="G36" s="1299">
        <f t="shared" si="7"/>
        <v>0.07890124858501535</v>
      </c>
      <c r="H36" s="1300">
        <f t="shared" si="7"/>
        <v>-0.011844238904695992</v>
      </c>
      <c r="I36" s="1301">
        <f t="shared" si="7"/>
        <v>0.10225037694847727</v>
      </c>
      <c r="J36" s="1294"/>
      <c r="K36" s="1302">
        <f>((K31/K18)^(1/11))-1</f>
        <v>0.10225037694847727</v>
      </c>
    </row>
    <row r="37" spans="2:3" ht="12.75">
      <c r="B37" t="s">
        <v>173</v>
      </c>
      <c r="C37" s="1303"/>
    </row>
    <row r="38" spans="2:3" ht="12.75">
      <c r="B38" s="34"/>
      <c r="C38" s="1220"/>
    </row>
    <row r="39" ht="12.75">
      <c r="B39" s="110"/>
    </row>
    <row r="41" spans="15:16" ht="12.75">
      <c r="O41" s="106"/>
      <c r="P41" s="106"/>
    </row>
    <row r="42" spans="15:16" ht="12.75">
      <c r="O42" s="106"/>
      <c r="P42" s="106"/>
    </row>
    <row r="43" spans="15:16" ht="12.75">
      <c r="O43" s="106"/>
      <c r="P43" s="106"/>
    </row>
    <row r="44" spans="15:16" ht="12.75">
      <c r="O44" s="106"/>
      <c r="P44" s="106"/>
    </row>
    <row r="45" spans="15:16" ht="12.75">
      <c r="O45" s="106"/>
      <c r="P45" s="106"/>
    </row>
    <row r="46" spans="15:16" ht="12.75">
      <c r="O46" s="106"/>
      <c r="P46" s="106"/>
    </row>
    <row r="47" spans="15:16" ht="12.75">
      <c r="O47" s="106"/>
      <c r="P47" s="106"/>
    </row>
    <row r="48" spans="15:16" ht="12.75">
      <c r="O48" s="106"/>
      <c r="P48" s="106"/>
    </row>
    <row r="49" spans="15:16" ht="12.75">
      <c r="O49" s="106"/>
      <c r="P49" s="106"/>
    </row>
    <row r="50" spans="14:16" ht="12.75">
      <c r="N50" s="95"/>
      <c r="O50" s="106"/>
      <c r="P50" s="106"/>
    </row>
    <row r="51" spans="15:16" ht="12.75">
      <c r="O51" s="106"/>
      <c r="P51" s="106"/>
    </row>
    <row r="52" spans="14:16" ht="12.75">
      <c r="N52" s="95"/>
      <c r="O52" s="106"/>
      <c r="P52" s="106"/>
    </row>
    <row r="53" spans="15:16" ht="12.75">
      <c r="O53" s="106"/>
      <c r="P53" s="106"/>
    </row>
    <row r="54" spans="14:16" ht="12.75">
      <c r="N54" s="95"/>
      <c r="O54" s="106"/>
      <c r="P54" s="106"/>
    </row>
    <row r="55" spans="14:16" ht="12.75">
      <c r="N55" s="95"/>
      <c r="O55" s="106"/>
      <c r="P55" s="106"/>
    </row>
    <row r="56" spans="14:16" ht="12.75">
      <c r="N56" s="95"/>
      <c r="O56" s="106"/>
      <c r="P56" s="106"/>
    </row>
    <row r="57" spans="14:16" ht="12.75">
      <c r="N57" s="95"/>
      <c r="O57" s="106"/>
      <c r="P57" s="106"/>
    </row>
    <row r="58" spans="14:16" ht="12.75">
      <c r="N58" s="95"/>
      <c r="O58" s="106"/>
      <c r="P58" s="106"/>
    </row>
    <row r="59" spans="14:16" ht="12.75">
      <c r="N59" s="95"/>
      <c r="O59" s="106"/>
      <c r="P59" s="106"/>
    </row>
  </sheetData>
  <sheetProtection password="B728" sheet="1"/>
  <mergeCells count="4">
    <mergeCell ref="B11:B12"/>
    <mergeCell ref="C11:E11"/>
    <mergeCell ref="F11:H11"/>
    <mergeCell ref="I11:K11"/>
  </mergeCells>
  <printOptions horizontalCentered="1" verticalCentered="1"/>
  <pageMargins left="0.68" right="0.59" top="1" bottom="1" header="0" footer="0"/>
  <pageSetup fitToHeight="1" fitToWidth="1" horizontalDpi="300" verticalDpi="3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6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20.00390625" style="0" customWidth="1"/>
    <col min="2" max="2" width="15.7109375" style="0" customWidth="1"/>
    <col min="3" max="3" width="14.28125" style="0" customWidth="1"/>
    <col min="4" max="7" width="13.28125" style="0" customWidth="1"/>
    <col min="8" max="8" width="15.421875" style="0" customWidth="1"/>
    <col min="9" max="11" width="13.57421875" style="0" customWidth="1"/>
    <col min="13" max="13" width="9.140625" style="0" bestFit="1" customWidth="1"/>
    <col min="14" max="14" width="11.28125" style="0" customWidth="1"/>
  </cols>
  <sheetData>
    <row r="2" ht="15.75">
      <c r="A2" s="88" t="s">
        <v>123</v>
      </c>
    </row>
    <row r="3" ht="12.75">
      <c r="A3" s="79"/>
    </row>
    <row r="4" ht="13.5" thickBot="1"/>
    <row r="5" spans="1:11" ht="12.75">
      <c r="A5" s="504" t="s">
        <v>47</v>
      </c>
      <c r="B5" s="505" t="s">
        <v>64</v>
      </c>
      <c r="C5" s="1614" t="s">
        <v>74</v>
      </c>
      <c r="D5" s="1612"/>
      <c r="E5" s="1615"/>
      <c r="F5" s="1616" t="s">
        <v>81</v>
      </c>
      <c r="G5" s="1616"/>
      <c r="H5" s="1616"/>
      <c r="I5" s="1617" t="s">
        <v>80</v>
      </c>
      <c r="J5" s="1543"/>
      <c r="K5" s="1544"/>
    </row>
    <row r="6" spans="1:14" ht="13.5" thickBot="1">
      <c r="A6" s="506"/>
      <c r="B6" s="507"/>
      <c r="C6" s="508" t="s">
        <v>68</v>
      </c>
      <c r="D6" s="509" t="s">
        <v>108</v>
      </c>
      <c r="E6" s="510" t="s">
        <v>109</v>
      </c>
      <c r="F6" s="508" t="s">
        <v>68</v>
      </c>
      <c r="G6" s="509" t="s">
        <v>108</v>
      </c>
      <c r="H6" s="510" t="s">
        <v>109</v>
      </c>
      <c r="I6" s="508" t="s">
        <v>68</v>
      </c>
      <c r="J6" s="509" t="s">
        <v>108</v>
      </c>
      <c r="K6" s="511" t="s">
        <v>109</v>
      </c>
      <c r="L6" s="512"/>
      <c r="M6" s="954"/>
      <c r="N6" s="954"/>
    </row>
    <row r="7" spans="1:12" ht="12.75">
      <c r="A7" s="355"/>
      <c r="B7" s="234"/>
      <c r="C7" s="166"/>
      <c r="D7" s="167"/>
      <c r="E7" s="167"/>
      <c r="F7" s="165"/>
      <c r="G7" s="168"/>
      <c r="H7" s="168"/>
      <c r="I7" s="165"/>
      <c r="J7" s="168"/>
      <c r="K7" s="212"/>
      <c r="L7" s="24"/>
    </row>
    <row r="8" spans="1:13" ht="12.75">
      <c r="A8" s="235">
        <v>1995</v>
      </c>
      <c r="B8" s="236">
        <f aca="true" t="shared" si="0" ref="B8:B13">SUM(I8,F8,C8)</f>
        <v>9849.258452999999</v>
      </c>
      <c r="C8" s="516">
        <f aca="true" t="shared" si="1" ref="C8:C13">SUM(D8:E8)</f>
        <v>8407.458867999998</v>
      </c>
      <c r="D8" s="517">
        <v>7448.519322999998</v>
      </c>
      <c r="E8" s="517">
        <v>958.939545</v>
      </c>
      <c r="F8" s="178">
        <f aca="true" t="shared" si="2" ref="F8:F13">SUM(G8:H8)</f>
        <v>1044.646917</v>
      </c>
      <c r="G8" s="517">
        <v>831.8650150000001</v>
      </c>
      <c r="H8" s="517">
        <v>212.781902</v>
      </c>
      <c r="I8" s="178">
        <f aca="true" t="shared" si="3" ref="I8:I13">SUM(J8:K8)</f>
        <v>397.152668</v>
      </c>
      <c r="J8" s="517">
        <v>393.326074</v>
      </c>
      <c r="K8" s="518">
        <v>3.826593999999999</v>
      </c>
      <c r="L8" s="515"/>
      <c r="M8" s="942"/>
    </row>
    <row r="9" spans="1:13" ht="12.75">
      <c r="A9" s="240">
        <v>1996</v>
      </c>
      <c r="B9" s="241">
        <f t="shared" si="0"/>
        <v>10330.839598</v>
      </c>
      <c r="C9" s="513">
        <f t="shared" si="1"/>
        <v>8791.752452</v>
      </c>
      <c r="D9" s="351">
        <v>7562.894092</v>
      </c>
      <c r="E9" s="351">
        <v>1228.8583600000002</v>
      </c>
      <c r="F9" s="171">
        <f t="shared" si="2"/>
        <v>1240.34606</v>
      </c>
      <c r="G9" s="351">
        <v>913.6079990000001</v>
      </c>
      <c r="H9" s="351">
        <v>326.7380610000001</v>
      </c>
      <c r="I9" s="171">
        <f t="shared" si="3"/>
        <v>298.741086</v>
      </c>
      <c r="J9" s="351">
        <v>294.108645</v>
      </c>
      <c r="K9" s="514">
        <v>4.632440999999999</v>
      </c>
      <c r="L9" s="220"/>
      <c r="M9" s="942"/>
    </row>
    <row r="10" spans="1:13" ht="12.75">
      <c r="A10" s="235">
        <v>1997</v>
      </c>
      <c r="B10" s="236">
        <f t="shared" si="0"/>
        <v>12451.230161000003</v>
      </c>
      <c r="C10" s="516">
        <f t="shared" si="1"/>
        <v>10025.745718000002</v>
      </c>
      <c r="D10" s="517">
        <v>8097.938756000001</v>
      </c>
      <c r="E10" s="517">
        <v>1927.806962</v>
      </c>
      <c r="F10" s="178">
        <f t="shared" si="2"/>
        <v>2065.011641</v>
      </c>
      <c r="G10" s="517">
        <v>919.502523</v>
      </c>
      <c r="H10" s="517">
        <v>1145.509118</v>
      </c>
      <c r="I10" s="178">
        <f t="shared" si="3"/>
        <v>360.472802</v>
      </c>
      <c r="J10" s="517">
        <v>360.453402</v>
      </c>
      <c r="K10" s="518">
        <v>0.019399999999999997</v>
      </c>
      <c r="L10" s="220"/>
      <c r="M10" s="942"/>
    </row>
    <row r="11" spans="1:13" ht="12.75">
      <c r="A11" s="240">
        <v>1998</v>
      </c>
      <c r="B11" s="241">
        <f t="shared" si="0"/>
        <v>14008.576964</v>
      </c>
      <c r="C11" s="513">
        <f t="shared" si="1"/>
        <v>11306.375054</v>
      </c>
      <c r="D11" s="351">
        <f>8513.591485</f>
        <v>8513.591485</v>
      </c>
      <c r="E11" s="351">
        <v>2792.783569</v>
      </c>
      <c r="F11" s="171">
        <f t="shared" si="2"/>
        <v>2286.929989</v>
      </c>
      <c r="G11" s="351">
        <f>950.017218</f>
        <v>950.017218</v>
      </c>
      <c r="H11" s="351">
        <v>1336.912771</v>
      </c>
      <c r="I11" s="171">
        <f t="shared" si="3"/>
        <v>415.271921</v>
      </c>
      <c r="J11" s="351">
        <v>415.053011</v>
      </c>
      <c r="K11" s="514">
        <v>0.21891</v>
      </c>
      <c r="L11" s="220"/>
      <c r="M11" s="942"/>
    </row>
    <row r="12" spans="1:13" ht="12.75">
      <c r="A12" s="235">
        <v>1999</v>
      </c>
      <c r="B12" s="236">
        <f t="shared" si="0"/>
        <v>14591.992392</v>
      </c>
      <c r="C12" s="516">
        <f t="shared" si="1"/>
        <v>11661.746689</v>
      </c>
      <c r="D12" s="517">
        <v>8734.301413</v>
      </c>
      <c r="E12" s="517">
        <v>2927.445276</v>
      </c>
      <c r="F12" s="178">
        <f t="shared" si="2"/>
        <v>2469.382068</v>
      </c>
      <c r="G12" s="517">
        <v>1004.0568199999999</v>
      </c>
      <c r="H12" s="517">
        <v>1465.325248</v>
      </c>
      <c r="I12" s="178">
        <f t="shared" si="3"/>
        <v>460.86363500000004</v>
      </c>
      <c r="J12" s="517">
        <v>460.63362700000005</v>
      </c>
      <c r="K12" s="518">
        <v>0.23000800000000002</v>
      </c>
      <c r="L12" s="220"/>
      <c r="M12" s="942"/>
    </row>
    <row r="13" spans="1:13" ht="12.75">
      <c r="A13" s="240">
        <v>2000</v>
      </c>
      <c r="B13" s="241">
        <f t="shared" si="0"/>
        <v>15545.595879</v>
      </c>
      <c r="C13" s="513">
        <f t="shared" si="1"/>
        <v>12386.730656</v>
      </c>
      <c r="D13" s="351">
        <v>9241.137606</v>
      </c>
      <c r="E13" s="351">
        <v>3145.59305</v>
      </c>
      <c r="F13" s="171">
        <f t="shared" si="2"/>
        <v>2701.955634</v>
      </c>
      <c r="G13" s="351">
        <v>1069.277796</v>
      </c>
      <c r="H13" s="351">
        <v>1632.677838</v>
      </c>
      <c r="I13" s="171">
        <f t="shared" si="3"/>
        <v>456.909589</v>
      </c>
      <c r="J13" s="351">
        <v>452.854356</v>
      </c>
      <c r="K13" s="514">
        <v>4.055233</v>
      </c>
      <c r="L13" s="220"/>
      <c r="M13" s="942"/>
    </row>
    <row r="14" spans="1:13" s="275" customFormat="1" ht="12.75">
      <c r="A14" s="235"/>
      <c r="B14" s="955"/>
      <c r="C14" s="956"/>
      <c r="D14" s="261"/>
      <c r="E14" s="957"/>
      <c r="F14" s="958"/>
      <c r="G14" s="261"/>
      <c r="H14" s="261"/>
      <c r="I14" s="958"/>
      <c r="J14" s="261"/>
      <c r="K14" s="959"/>
      <c r="L14" s="960"/>
      <c r="M14" s="961"/>
    </row>
    <row r="15" spans="1:13" ht="12.75">
      <c r="A15" s="240"/>
      <c r="B15" s="243"/>
      <c r="C15" s="1618" t="s">
        <v>72</v>
      </c>
      <c r="D15" s="1619"/>
      <c r="E15" s="1619"/>
      <c r="F15" s="189"/>
      <c r="G15" s="187"/>
      <c r="H15" s="187"/>
      <c r="I15" s="189"/>
      <c r="J15" s="187"/>
      <c r="K15" s="219"/>
      <c r="L15" s="220"/>
      <c r="M15" s="12"/>
    </row>
    <row r="16" spans="1:13" ht="12.75">
      <c r="A16" s="240">
        <v>2001</v>
      </c>
      <c r="B16" s="241">
        <f aca="true" t="shared" si="4" ref="B16:B21">SUM(I16,F16,C16)</f>
        <v>16628.76848</v>
      </c>
      <c r="C16" s="513">
        <f aca="true" t="shared" si="5" ref="C16:C22">SUM(D16:E16)</f>
        <v>16204.648099</v>
      </c>
      <c r="D16" s="351">
        <v>10098.5332</v>
      </c>
      <c r="E16" s="519">
        <v>6106.114899</v>
      </c>
      <c r="F16" s="171"/>
      <c r="G16" s="351"/>
      <c r="H16" s="351"/>
      <c r="I16" s="171">
        <f aca="true" t="shared" si="6" ref="I16:I22">SUM(J16:K16)</f>
        <v>424.120381</v>
      </c>
      <c r="J16" s="351">
        <v>423.85546</v>
      </c>
      <c r="K16" s="514">
        <v>0.264921</v>
      </c>
      <c r="L16" s="220"/>
      <c r="M16" s="942"/>
    </row>
    <row r="17" spans="1:20" ht="12.75">
      <c r="A17" s="235">
        <v>2002</v>
      </c>
      <c r="B17" s="236">
        <f t="shared" si="4"/>
        <v>17605.325925848</v>
      </c>
      <c r="C17" s="516">
        <f t="shared" si="5"/>
        <v>17236.772243847998</v>
      </c>
      <c r="D17" s="517">
        <v>10745.319184999998</v>
      </c>
      <c r="E17" s="517">
        <v>6491.453058848</v>
      </c>
      <c r="F17" s="171"/>
      <c r="G17" s="351"/>
      <c r="H17" s="351"/>
      <c r="I17" s="178">
        <f t="shared" si="6"/>
        <v>368.553682</v>
      </c>
      <c r="J17" s="517">
        <v>368.22799</v>
      </c>
      <c r="K17" s="518">
        <v>0.325692</v>
      </c>
      <c r="L17" s="220"/>
      <c r="M17" s="942"/>
      <c r="S17" s="520"/>
      <c r="T17" s="22"/>
    </row>
    <row r="18" spans="1:20" ht="12.75">
      <c r="A18" s="240">
        <v>2003</v>
      </c>
      <c r="B18" s="241">
        <f t="shared" si="4"/>
        <v>18375.335409999996</v>
      </c>
      <c r="C18" s="513">
        <f t="shared" si="5"/>
        <v>18036.842793999997</v>
      </c>
      <c r="D18" s="351">
        <v>10965.120957</v>
      </c>
      <c r="E18" s="351">
        <v>7071.721836999998</v>
      </c>
      <c r="F18" s="171"/>
      <c r="G18" s="351"/>
      <c r="H18" s="351"/>
      <c r="I18" s="171">
        <f t="shared" si="6"/>
        <v>338.49261599999994</v>
      </c>
      <c r="J18" s="351">
        <v>338.49261599999994</v>
      </c>
      <c r="K18" s="514"/>
      <c r="L18" s="220"/>
      <c r="M18" s="942"/>
      <c r="R18" s="436"/>
      <c r="S18" s="520"/>
      <c r="T18" s="22"/>
    </row>
    <row r="19" spans="1:20" ht="12.75">
      <c r="A19" s="235">
        <v>2004</v>
      </c>
      <c r="B19" s="236">
        <f t="shared" si="4"/>
        <v>19640.651110000003</v>
      </c>
      <c r="C19" s="516">
        <f t="shared" si="5"/>
        <v>19269.33895</v>
      </c>
      <c r="D19" s="517">
        <v>11629.993156</v>
      </c>
      <c r="E19" s="517">
        <v>7639.345794000001</v>
      </c>
      <c r="F19" s="171"/>
      <c r="G19" s="351"/>
      <c r="H19" s="351"/>
      <c r="I19" s="178">
        <f t="shared" si="6"/>
        <v>371.31215999999995</v>
      </c>
      <c r="J19" s="517">
        <v>371.31215999999995</v>
      </c>
      <c r="K19" s="518"/>
      <c r="L19" s="220"/>
      <c r="M19" s="942"/>
      <c r="R19" s="436"/>
      <c r="S19" s="520"/>
      <c r="T19" s="22"/>
    </row>
    <row r="20" spans="1:20" ht="12.75">
      <c r="A20" s="240">
        <v>2005</v>
      </c>
      <c r="B20" s="241">
        <f t="shared" si="4"/>
        <v>20701.38288022222</v>
      </c>
      <c r="C20" s="513">
        <f t="shared" si="5"/>
        <v>20287.89140722222</v>
      </c>
      <c r="D20" s="351">
        <v>12500.796327222219</v>
      </c>
      <c r="E20" s="351">
        <v>7787.095080000002</v>
      </c>
      <c r="F20" s="171"/>
      <c r="G20" s="351"/>
      <c r="H20" s="351"/>
      <c r="I20" s="171">
        <f t="shared" si="6"/>
        <v>413.49147299999987</v>
      </c>
      <c r="J20" s="351">
        <v>413.49147299999987</v>
      </c>
      <c r="K20" s="514"/>
      <c r="L20" s="220"/>
      <c r="M20" s="942"/>
      <c r="R20" s="436"/>
      <c r="S20" s="520"/>
      <c r="T20" s="22"/>
    </row>
    <row r="21" spans="1:20" ht="12.75">
      <c r="A21" s="235">
        <v>2006</v>
      </c>
      <c r="B21" s="236">
        <f t="shared" si="4"/>
        <v>22290.061153</v>
      </c>
      <c r="C21" s="516">
        <f>SUM(D21:E21)</f>
        <v>21398.022283</v>
      </c>
      <c r="D21" s="517">
        <v>13151.599457</v>
      </c>
      <c r="E21" s="517">
        <v>8246.422825999998</v>
      </c>
      <c r="F21" s="178"/>
      <c r="G21" s="517"/>
      <c r="H21" s="517"/>
      <c r="I21" s="178">
        <f t="shared" si="6"/>
        <v>892.0388700000001</v>
      </c>
      <c r="J21" s="517">
        <v>892.0388700000001</v>
      </c>
      <c r="K21" s="518"/>
      <c r="L21" s="220"/>
      <c r="M21" s="942"/>
      <c r="R21" s="436"/>
      <c r="S21" s="520"/>
      <c r="T21" s="521"/>
    </row>
    <row r="22" spans="1:20" ht="12.75">
      <c r="A22" s="240">
        <v>2007</v>
      </c>
      <c r="B22" s="241">
        <f>SUM(I22,F22,C22)</f>
        <v>24721.748553</v>
      </c>
      <c r="C22" s="513">
        <f t="shared" si="5"/>
        <v>24280.431357</v>
      </c>
      <c r="D22" s="351">
        <v>14590.863659000002</v>
      </c>
      <c r="E22" s="351">
        <v>9689.567697999999</v>
      </c>
      <c r="F22" s="171"/>
      <c r="G22" s="351"/>
      <c r="H22" s="351"/>
      <c r="I22" s="171">
        <f t="shared" si="6"/>
        <v>441.31719599999985</v>
      </c>
      <c r="J22" s="351">
        <v>441.31719599999985</v>
      </c>
      <c r="K22" s="514"/>
      <c r="L22" s="220"/>
      <c r="M22" s="942"/>
      <c r="P22" s="95"/>
      <c r="R22" s="522"/>
      <c r="S22" s="520"/>
      <c r="T22" s="22"/>
    </row>
    <row r="23" spans="1:20" ht="12.75">
      <c r="A23" s="235">
        <v>2008</v>
      </c>
      <c r="B23" s="236">
        <f>SUM(I23,F23,C23)</f>
        <v>26964.414596000006</v>
      </c>
      <c r="C23" s="516">
        <f>SUM(D23:E23)</f>
        <v>26472.178728000006</v>
      </c>
      <c r="D23" s="517">
        <v>15804.940677000004</v>
      </c>
      <c r="E23" s="517">
        <v>10667.238051</v>
      </c>
      <c r="F23" s="178"/>
      <c r="G23" s="517"/>
      <c r="H23" s="517"/>
      <c r="I23" s="178">
        <f>SUM(J23:K23)</f>
        <v>492.235868</v>
      </c>
      <c r="J23" s="517">
        <v>492.235868</v>
      </c>
      <c r="K23" s="518"/>
      <c r="L23" s="220"/>
      <c r="M23" s="942"/>
      <c r="P23" s="95"/>
      <c r="R23" s="522"/>
      <c r="S23" s="520"/>
      <c r="T23" s="22"/>
    </row>
    <row r="24" spans="1:20" ht="12.75">
      <c r="A24" s="240">
        <v>2009</v>
      </c>
      <c r="B24" s="241">
        <f>SUM(I24,F24,C24)</f>
        <v>27087.005777000002</v>
      </c>
      <c r="C24" s="513">
        <f>SUM(D24:E24)</f>
        <v>26599.453197000003</v>
      </c>
      <c r="D24" s="351">
        <v>16513.111565</v>
      </c>
      <c r="E24" s="351">
        <v>10086.341632000001</v>
      </c>
      <c r="F24" s="171"/>
      <c r="G24" s="351"/>
      <c r="H24" s="351"/>
      <c r="I24" s="171">
        <f>SUM(J24:K24)</f>
        <v>487.55258000000003</v>
      </c>
      <c r="J24" s="351">
        <v>487.55258000000003</v>
      </c>
      <c r="K24" s="514"/>
      <c r="L24" s="220"/>
      <c r="M24" s="942"/>
      <c r="P24" s="95"/>
      <c r="R24" s="522"/>
      <c r="S24" s="520"/>
      <c r="T24" s="22"/>
    </row>
    <row r="25" spans="1:20" ht="12.75">
      <c r="A25" s="235">
        <v>2010</v>
      </c>
      <c r="B25" s="236">
        <f>SUM(I25,F25,C25)</f>
        <v>29436.175124</v>
      </c>
      <c r="C25" s="516">
        <f>SUM(D25:E25)</f>
        <v>29117.946128</v>
      </c>
      <c r="D25" s="517">
        <v>17877.096102</v>
      </c>
      <c r="E25" s="517">
        <v>11240.850026</v>
      </c>
      <c r="F25" s="178"/>
      <c r="G25" s="517"/>
      <c r="H25" s="517"/>
      <c r="I25" s="178">
        <f>SUM(J25:K25)</f>
        <v>318.228996</v>
      </c>
      <c r="J25" s="517">
        <v>318.228996</v>
      </c>
      <c r="K25" s="518"/>
      <c r="L25" s="220"/>
      <c r="M25" s="942"/>
      <c r="P25" s="95"/>
      <c r="R25" s="522"/>
      <c r="S25" s="520"/>
      <c r="T25" s="22"/>
    </row>
    <row r="26" spans="1:20" s="663" customFormat="1" ht="12.75">
      <c r="A26" s="240">
        <v>2011</v>
      </c>
      <c r="B26" s="241">
        <v>31795.547938</v>
      </c>
      <c r="C26" s="513">
        <f>B26-I26</f>
        <v>31795.547938</v>
      </c>
      <c r="D26" s="351">
        <f>C26-E26</f>
        <v>19744.523815</v>
      </c>
      <c r="E26" s="351">
        <v>12051.024123</v>
      </c>
      <c r="F26" s="171"/>
      <c r="G26" s="351"/>
      <c r="H26" s="351"/>
      <c r="I26" s="171">
        <f>B26*M26</f>
        <v>0</v>
      </c>
      <c r="J26" s="351">
        <v>0</v>
      </c>
      <c r="K26" s="514"/>
      <c r="L26" s="350"/>
      <c r="M26" s="942"/>
      <c r="P26" s="962"/>
      <c r="R26" s="963"/>
      <c r="S26" s="964"/>
      <c r="T26" s="965"/>
    </row>
    <row r="27" spans="1:18" s="15" customFormat="1" ht="13.5" thickBot="1">
      <c r="A27" s="573"/>
      <c r="B27" s="966"/>
      <c r="C27" s="967"/>
      <c r="D27" s="968"/>
      <c r="E27" s="968"/>
      <c r="F27" s="969"/>
      <c r="G27" s="968"/>
      <c r="H27" s="968"/>
      <c r="I27" s="969"/>
      <c r="J27" s="968"/>
      <c r="K27" s="645"/>
      <c r="L27" s="200"/>
      <c r="R27" s="970"/>
    </row>
    <row r="28" spans="1:12" ht="21" customHeight="1">
      <c r="A28" s="971" t="s">
        <v>167</v>
      </c>
      <c r="B28" s="972">
        <f>(B26/B25)-1</f>
        <v>0.08015215305864754</v>
      </c>
      <c r="C28" s="939">
        <f>(C26/C25)-1</f>
        <v>0.09195709746248903</v>
      </c>
      <c r="D28" s="973">
        <f>(D26/D25)-1</f>
        <v>0.10445923109352662</v>
      </c>
      <c r="E28" s="974">
        <f>(E26/E25)-1</f>
        <v>0.07207409538656528</v>
      </c>
      <c r="F28" s="526"/>
      <c r="G28" s="527"/>
      <c r="H28" s="528"/>
      <c r="I28" s="975">
        <f>(I26/I25)-1</f>
        <v>-1</v>
      </c>
      <c r="J28" s="976">
        <f>(J26/J25)-1</f>
        <v>-1</v>
      </c>
      <c r="K28" s="531"/>
      <c r="L28" s="24"/>
    </row>
    <row r="29" spans="1:20" ht="21" customHeight="1">
      <c r="A29" s="539" t="s">
        <v>171</v>
      </c>
      <c r="B29" s="540">
        <f>((B26/B21)^(1/5))-1</f>
        <v>0.07362103223347427</v>
      </c>
      <c r="C29" s="541">
        <f>((C26/C21)^(1/5))-1</f>
        <v>0.08242679786881091</v>
      </c>
      <c r="D29" s="542">
        <f>((D26/D21)^(1/5))-1</f>
        <v>0.08465998386663287</v>
      </c>
      <c r="E29" s="543">
        <f>((E26/E21)^(1/5))-1</f>
        <v>0.07882666285009132</v>
      </c>
      <c r="F29" s="533"/>
      <c r="G29" s="534"/>
      <c r="H29" s="535"/>
      <c r="I29" s="544">
        <f>((I26/I21)^(1/5))-1</f>
        <v>-1</v>
      </c>
      <c r="J29" s="545">
        <f>((J26/J21)^(1/5))-1</f>
        <v>-1</v>
      </c>
      <c r="K29" s="537"/>
      <c r="L29" s="24"/>
      <c r="Q29" s="538"/>
      <c r="R29" s="26"/>
      <c r="T29" s="538"/>
    </row>
    <row r="30" spans="1:20" ht="21" customHeight="1">
      <c r="A30" s="977" t="s">
        <v>169</v>
      </c>
      <c r="B30" s="719">
        <f>(B26/B13)-1</f>
        <v>1.0453090499381559</v>
      </c>
      <c r="C30" s="378">
        <f>(C26/(C13+F13))-1</f>
        <v>1.1072442840217604</v>
      </c>
      <c r="D30" s="978">
        <f>(D26/(D13+G13))-1</f>
        <v>0.9150075962186726</v>
      </c>
      <c r="E30" s="979">
        <f>(E26/(E13+H13))-1</f>
        <v>1.5220470763314329</v>
      </c>
      <c r="F30" s="533"/>
      <c r="G30" s="534"/>
      <c r="H30" s="535"/>
      <c r="I30" s="980">
        <f>(I26/I13)-1</f>
        <v>-1</v>
      </c>
      <c r="J30" s="981">
        <f>(J26/J13)-1</f>
        <v>-1</v>
      </c>
      <c r="K30" s="537"/>
      <c r="L30" s="24"/>
      <c r="Q30" s="436"/>
      <c r="R30" s="803"/>
      <c r="T30" s="436"/>
    </row>
    <row r="31" spans="1:20" ht="21" customHeight="1" thickBot="1">
      <c r="A31" s="982" t="s">
        <v>170</v>
      </c>
      <c r="B31" s="983">
        <f>((B26/B13)^(1/11))-1</f>
        <v>0.06721227721405243</v>
      </c>
      <c r="C31" s="984">
        <f>((C26/(C13+F13))^(1/11))-1</f>
        <v>0.07011050111822925</v>
      </c>
      <c r="D31" s="985">
        <f>((D26/(D13+G13))^(1/11))-1</f>
        <v>0.06084482884832809</v>
      </c>
      <c r="E31" s="986">
        <f>((E26/(E13+H13))^(1/11))-1</f>
        <v>0.0877347849395318</v>
      </c>
      <c r="F31" s="533"/>
      <c r="G31" s="534"/>
      <c r="H31" s="535"/>
      <c r="I31" s="987">
        <f>((I26/I13)^(1/11))-1</f>
        <v>-1</v>
      </c>
      <c r="J31" s="988">
        <f>((J26/J13)^(1/11))-1</f>
        <v>-1</v>
      </c>
      <c r="K31" s="537"/>
      <c r="Q31" s="436"/>
      <c r="R31" s="803"/>
      <c r="T31" s="436"/>
    </row>
    <row r="32" spans="1:20" ht="12.75">
      <c r="A32" s="110"/>
      <c r="Q32" s="436"/>
      <c r="R32" s="803"/>
      <c r="T32" s="436"/>
    </row>
    <row r="33" spans="1:20" ht="12.75">
      <c r="A33" s="110"/>
      <c r="Q33" s="436"/>
      <c r="R33" s="803"/>
      <c r="T33" s="436"/>
    </row>
    <row r="34" spans="1:18" ht="12.75">
      <c r="A34" s="110"/>
      <c r="R34" s="548"/>
    </row>
    <row r="35" spans="1:6" ht="12.75">
      <c r="A35" s="110"/>
      <c r="F35" s="14"/>
    </row>
    <row r="36" spans="3:6" ht="12.75">
      <c r="C36" s="989"/>
      <c r="F36" s="105"/>
    </row>
    <row r="39" ht="15.75">
      <c r="A39" s="88" t="s">
        <v>124</v>
      </c>
    </row>
    <row r="40" ht="12.75">
      <c r="A40" s="34"/>
    </row>
    <row r="41" ht="13.5" thickBot="1"/>
    <row r="42" spans="1:12" ht="12.75">
      <c r="A42" s="504" t="s">
        <v>47</v>
      </c>
      <c r="B42" s="505" t="s">
        <v>64</v>
      </c>
      <c r="C42" s="1614" t="s">
        <v>113</v>
      </c>
      <c r="D42" s="1612"/>
      <c r="E42" s="1612"/>
      <c r="F42" s="1612"/>
      <c r="G42" s="1615"/>
      <c r="H42" s="1616" t="s">
        <v>118</v>
      </c>
      <c r="I42" s="1616"/>
      <c r="J42" s="1616"/>
      <c r="K42" s="1616"/>
      <c r="L42" s="1620"/>
    </row>
    <row r="43" spans="1:12" ht="13.5" thickBot="1">
      <c r="A43" s="506"/>
      <c r="B43" s="507"/>
      <c r="C43" s="549" t="s">
        <v>68</v>
      </c>
      <c r="D43" s="508" t="s">
        <v>114</v>
      </c>
      <c r="E43" s="550" t="s">
        <v>115</v>
      </c>
      <c r="F43" s="508" t="s">
        <v>116</v>
      </c>
      <c r="G43" s="551" t="s">
        <v>117</v>
      </c>
      <c r="H43" s="549" t="s">
        <v>68</v>
      </c>
      <c r="I43" s="508" t="s">
        <v>114</v>
      </c>
      <c r="J43" s="550" t="s">
        <v>115</v>
      </c>
      <c r="K43" s="508" t="s">
        <v>116</v>
      </c>
      <c r="L43" s="552" t="s">
        <v>117</v>
      </c>
    </row>
    <row r="44" spans="1:12" ht="12.75">
      <c r="A44" s="355"/>
      <c r="B44" s="425"/>
      <c r="C44" s="168"/>
      <c r="D44" s="169"/>
      <c r="E44" s="251"/>
      <c r="F44" s="169"/>
      <c r="G44" s="168"/>
      <c r="H44" s="355"/>
      <c r="I44" s="425"/>
      <c r="J44" s="251"/>
      <c r="K44" s="169"/>
      <c r="L44" s="170"/>
    </row>
    <row r="45" spans="1:15" ht="12.75">
      <c r="A45" s="235">
        <v>1995</v>
      </c>
      <c r="B45" s="236">
        <v>8673.708087000005</v>
      </c>
      <c r="C45" s="259">
        <v>2243.3232249999996</v>
      </c>
      <c r="D45" s="147">
        <v>559.9126940000001</v>
      </c>
      <c r="E45" s="182">
        <v>655.2651149999999</v>
      </c>
      <c r="F45" s="147">
        <v>1023.9378559999999</v>
      </c>
      <c r="G45" s="140">
        <v>4.20756</v>
      </c>
      <c r="H45" s="553">
        <v>6430.384862000004</v>
      </c>
      <c r="I45" s="139"/>
      <c r="J45" s="182">
        <v>11.791943000000002</v>
      </c>
      <c r="K45" s="147">
        <v>1395.701755</v>
      </c>
      <c r="L45" s="554">
        <v>5022.891164000004</v>
      </c>
      <c r="N45" s="105"/>
      <c r="O45" s="105"/>
    </row>
    <row r="46" spans="1:14" ht="12.75">
      <c r="A46" s="240">
        <v>1996</v>
      </c>
      <c r="B46" s="241">
        <v>8770.610735999991</v>
      </c>
      <c r="C46" s="257">
        <v>1988.7948940000003</v>
      </c>
      <c r="D46" s="144">
        <v>303.213701</v>
      </c>
      <c r="E46" s="134">
        <v>614.27441</v>
      </c>
      <c r="F46" s="144">
        <v>1067.5413520000002</v>
      </c>
      <c r="G46" s="132">
        <v>3.765430999999999</v>
      </c>
      <c r="H46" s="555">
        <v>6781.815841999992</v>
      </c>
      <c r="I46" s="131"/>
      <c r="J46" s="134">
        <v>14.347229000000002</v>
      </c>
      <c r="K46" s="144">
        <v>1553.801197</v>
      </c>
      <c r="L46" s="556">
        <v>5213.667415999992</v>
      </c>
      <c r="N46" s="105"/>
    </row>
    <row r="47" spans="1:14" ht="12.75">
      <c r="A47" s="235">
        <v>1997</v>
      </c>
      <c r="B47" s="236">
        <v>9377.89467999999</v>
      </c>
      <c r="C47" s="259">
        <v>2086.2452379999995</v>
      </c>
      <c r="D47" s="147">
        <v>310.561202</v>
      </c>
      <c r="E47" s="182">
        <v>600.07719</v>
      </c>
      <c r="F47" s="147">
        <v>1172.7995409999999</v>
      </c>
      <c r="G47" s="140">
        <v>2.807305</v>
      </c>
      <c r="H47" s="553">
        <v>7291.649441999992</v>
      </c>
      <c r="I47" s="139"/>
      <c r="J47" s="182">
        <v>16.139772</v>
      </c>
      <c r="K47" s="147">
        <v>1753.471279</v>
      </c>
      <c r="L47" s="554">
        <v>5522.038390999992</v>
      </c>
      <c r="N47" s="105"/>
    </row>
    <row r="48" spans="1:14" ht="12.75">
      <c r="A48" s="240">
        <v>1998</v>
      </c>
      <c r="B48" s="241">
        <v>9878.661572999998</v>
      </c>
      <c r="C48" s="257">
        <v>2122.8234709999997</v>
      </c>
      <c r="D48" s="144">
        <v>324.321584</v>
      </c>
      <c r="E48" s="134">
        <v>665.672343</v>
      </c>
      <c r="F48" s="144">
        <v>1132.829544</v>
      </c>
      <c r="G48" s="132"/>
      <c r="H48" s="555">
        <v>7755.838101999997</v>
      </c>
      <c r="I48" s="131"/>
      <c r="J48" s="134">
        <v>8.263341</v>
      </c>
      <c r="K48" s="144">
        <v>1911.33501499999</v>
      </c>
      <c r="L48" s="556">
        <v>5836.239746000007</v>
      </c>
      <c r="N48" s="105"/>
    </row>
    <row r="49" spans="1:14" ht="12.75">
      <c r="A49" s="235">
        <v>1999</v>
      </c>
      <c r="B49" s="236">
        <v>10198.89102700001</v>
      </c>
      <c r="C49" s="259">
        <v>2127.017692</v>
      </c>
      <c r="D49" s="147">
        <v>304.7787119999999</v>
      </c>
      <c r="E49" s="182">
        <v>605.3167760000001</v>
      </c>
      <c r="F49" s="147">
        <v>1216.922204</v>
      </c>
      <c r="G49" s="140"/>
      <c r="H49" s="553">
        <v>8071.873335000011</v>
      </c>
      <c r="I49" s="139"/>
      <c r="J49" s="182">
        <v>5.747208000000001</v>
      </c>
      <c r="K49" s="147">
        <v>2090.622609</v>
      </c>
      <c r="L49" s="554">
        <v>5975.50351800001</v>
      </c>
      <c r="N49" s="105"/>
    </row>
    <row r="50" spans="1:16" ht="12.75">
      <c r="A50" s="240">
        <v>2000</v>
      </c>
      <c r="B50" s="241">
        <v>10763.269271000014</v>
      </c>
      <c r="C50" s="257">
        <v>2356.490991</v>
      </c>
      <c r="D50" s="144">
        <v>344.03961300000003</v>
      </c>
      <c r="E50" s="134">
        <v>693.265045</v>
      </c>
      <c r="F50" s="144">
        <v>1319.186333</v>
      </c>
      <c r="G50" s="132"/>
      <c r="H50" s="555">
        <v>8406.778280000013</v>
      </c>
      <c r="I50" s="131"/>
      <c r="J50" s="134">
        <v>5.905902999999998</v>
      </c>
      <c r="K50" s="144">
        <v>2269.95571700001</v>
      </c>
      <c r="L50" s="556">
        <v>6130.9166600000035</v>
      </c>
      <c r="P50" s="105"/>
    </row>
    <row r="51" spans="1:16" ht="12.75">
      <c r="A51" s="235">
        <v>2001</v>
      </c>
      <c r="B51" s="236">
        <v>10522.374724999987</v>
      </c>
      <c r="C51" s="259">
        <v>1867.5214919999999</v>
      </c>
      <c r="D51" s="196">
        <v>60.84871</v>
      </c>
      <c r="E51" s="557">
        <v>493.9643459999999</v>
      </c>
      <c r="F51" s="196">
        <v>1312.708436</v>
      </c>
      <c r="G51" s="195"/>
      <c r="H51" s="553">
        <v>8654.853232999987</v>
      </c>
      <c r="I51" s="558"/>
      <c r="J51" s="557">
        <v>6.183577000000001</v>
      </c>
      <c r="K51" s="196">
        <v>2416.84906999999</v>
      </c>
      <c r="L51" s="183">
        <v>6231.820585999998</v>
      </c>
      <c r="P51" s="105"/>
    </row>
    <row r="52" spans="1:26" ht="12.75">
      <c r="A52" s="240">
        <v>2002</v>
      </c>
      <c r="B52" s="241">
        <v>11113.547163000001</v>
      </c>
      <c r="C52" s="257">
        <v>1891.6583559999997</v>
      </c>
      <c r="D52" s="194">
        <v>68.563683</v>
      </c>
      <c r="E52" s="347">
        <v>438.70879599999995</v>
      </c>
      <c r="F52" s="194">
        <v>1384.3858769999997</v>
      </c>
      <c r="G52" s="192"/>
      <c r="H52" s="555">
        <v>9221.888807000001</v>
      </c>
      <c r="I52" s="559"/>
      <c r="J52" s="347">
        <v>6.232502</v>
      </c>
      <c r="K52" s="194">
        <v>2640.5283990000003</v>
      </c>
      <c r="L52" s="184">
        <v>6575.127906000001</v>
      </c>
      <c r="P52" s="105"/>
      <c r="S52" s="26"/>
      <c r="T52" s="26"/>
      <c r="U52" s="26"/>
      <c r="V52" s="26"/>
      <c r="X52" s="26"/>
      <c r="Y52" s="26"/>
      <c r="Z52" s="26"/>
    </row>
    <row r="53" spans="1:26" ht="12.75">
      <c r="A53" s="235">
        <v>2003</v>
      </c>
      <c r="B53" s="236">
        <v>11303.613573</v>
      </c>
      <c r="C53" s="259">
        <v>1692.823284</v>
      </c>
      <c r="D53" s="196">
        <v>78.29819</v>
      </c>
      <c r="E53" s="557">
        <v>359.015535</v>
      </c>
      <c r="F53" s="196">
        <v>1255.509559</v>
      </c>
      <c r="G53" s="195"/>
      <c r="H53" s="553">
        <v>9610.790289</v>
      </c>
      <c r="I53" s="558"/>
      <c r="J53" s="557">
        <v>6.116314</v>
      </c>
      <c r="K53" s="196">
        <v>2812.867365</v>
      </c>
      <c r="L53" s="183">
        <v>6791.80661</v>
      </c>
      <c r="P53" s="6"/>
      <c r="Q53" s="560"/>
      <c r="R53" s="803"/>
      <c r="S53" s="803"/>
      <c r="T53" s="803"/>
      <c r="U53" s="803"/>
      <c r="W53" s="803"/>
      <c r="X53" s="803"/>
      <c r="Y53" s="803"/>
      <c r="Z53" s="803"/>
    </row>
    <row r="54" spans="1:26" ht="12.75">
      <c r="A54" s="240">
        <v>2004</v>
      </c>
      <c r="B54" s="241">
        <v>12001.305316000002</v>
      </c>
      <c r="C54" s="257">
        <v>1648.793953</v>
      </c>
      <c r="D54" s="194">
        <v>88.434764</v>
      </c>
      <c r="E54" s="347">
        <v>232.89495200000002</v>
      </c>
      <c r="F54" s="194">
        <v>1327.4642370000001</v>
      </c>
      <c r="G54" s="192"/>
      <c r="H54" s="555">
        <v>10352.511363000001</v>
      </c>
      <c r="I54" s="559"/>
      <c r="J54" s="347">
        <v>21.758628999999996</v>
      </c>
      <c r="K54" s="194">
        <v>3117.02373</v>
      </c>
      <c r="L54" s="184">
        <v>7213.729004000001</v>
      </c>
      <c r="P54" s="6"/>
      <c r="Q54" s="560"/>
      <c r="R54" s="803"/>
      <c r="S54" s="803"/>
      <c r="T54" s="803"/>
      <c r="U54" s="803"/>
      <c r="W54" s="803"/>
      <c r="X54" s="803"/>
      <c r="Y54" s="803"/>
      <c r="Z54" s="803"/>
    </row>
    <row r="55" spans="1:26" ht="12.75">
      <c r="A55" s="235">
        <v>2005</v>
      </c>
      <c r="B55" s="236">
        <v>12914.287800222222</v>
      </c>
      <c r="C55" s="259">
        <v>1764.180954</v>
      </c>
      <c r="D55" s="196">
        <v>99.922329</v>
      </c>
      <c r="E55" s="557">
        <v>333.401135</v>
      </c>
      <c r="F55" s="196">
        <v>1330.8574899999999</v>
      </c>
      <c r="G55" s="195"/>
      <c r="H55" s="553">
        <v>11150.106846222223</v>
      </c>
      <c r="I55" s="558"/>
      <c r="J55" s="557">
        <v>47.876192</v>
      </c>
      <c r="K55" s="196">
        <v>3475.5951542222224</v>
      </c>
      <c r="L55" s="183">
        <v>7626.6355</v>
      </c>
      <c r="P55" s="6"/>
      <c r="Q55" s="560"/>
      <c r="R55" s="803"/>
      <c r="S55" s="803"/>
      <c r="T55" s="803"/>
      <c r="U55" s="803"/>
      <c r="W55" s="803"/>
      <c r="X55" s="803"/>
      <c r="Y55" s="803"/>
      <c r="Z55" s="803"/>
    </row>
    <row r="56" spans="1:26" ht="12.75">
      <c r="A56" s="240">
        <v>2006</v>
      </c>
      <c r="B56" s="241">
        <v>14043.638326999999</v>
      </c>
      <c r="C56" s="257">
        <v>1874.1233889999999</v>
      </c>
      <c r="D56" s="194">
        <v>120.46023999999998</v>
      </c>
      <c r="E56" s="194">
        <v>336.663829</v>
      </c>
      <c r="F56" s="194">
        <v>1416.99932</v>
      </c>
      <c r="G56" s="192"/>
      <c r="H56" s="555">
        <v>12169.514937999998</v>
      </c>
      <c r="I56" s="559"/>
      <c r="J56" s="347">
        <v>56.914355</v>
      </c>
      <c r="K56" s="194">
        <v>3926.761326</v>
      </c>
      <c r="L56" s="184">
        <v>8185.839256999999</v>
      </c>
      <c r="P56" s="6"/>
      <c r="Q56" s="560"/>
      <c r="R56" s="803"/>
      <c r="S56" s="803"/>
      <c r="T56" s="803"/>
      <c r="U56" s="803"/>
      <c r="W56" s="803"/>
      <c r="X56" s="803"/>
      <c r="Y56" s="803"/>
      <c r="Z56" s="803"/>
    </row>
    <row r="57" spans="1:26" ht="12.75">
      <c r="A57" s="235">
        <v>2007</v>
      </c>
      <c r="B57" s="236">
        <v>15032.180855</v>
      </c>
      <c r="C57" s="259">
        <v>1685.996386</v>
      </c>
      <c r="D57" s="196">
        <v>125.380457</v>
      </c>
      <c r="E57" s="196">
        <v>161.51437200000004</v>
      </c>
      <c r="F57" s="196">
        <v>1399.101557</v>
      </c>
      <c r="G57" s="195"/>
      <c r="H57" s="553">
        <v>13346.184469</v>
      </c>
      <c r="I57" s="558"/>
      <c r="J57" s="557">
        <v>73.889322</v>
      </c>
      <c r="K57" s="196">
        <v>4470.591810999999</v>
      </c>
      <c r="L57" s="183">
        <v>8801.703336</v>
      </c>
      <c r="P57" s="561"/>
      <c r="Q57" s="562"/>
      <c r="R57" s="563"/>
      <c r="S57" s="562"/>
      <c r="T57" s="562"/>
      <c r="U57" s="562"/>
      <c r="V57" s="562"/>
      <c r="W57" s="563"/>
      <c r="X57" s="562"/>
      <c r="Y57" s="562"/>
      <c r="Z57" s="562"/>
    </row>
    <row r="58" spans="1:26" ht="12.75">
      <c r="A58" s="240">
        <v>2008</v>
      </c>
      <c r="B58" s="241">
        <v>16297.176545</v>
      </c>
      <c r="C58" s="564">
        <v>1727.732471</v>
      </c>
      <c r="D58" s="194">
        <v>115.71227</v>
      </c>
      <c r="E58" s="347">
        <v>150.521228</v>
      </c>
      <c r="F58" s="194">
        <v>1461.498973</v>
      </c>
      <c r="G58" s="192"/>
      <c r="H58" s="555">
        <v>14569.444074000001</v>
      </c>
      <c r="I58" s="559"/>
      <c r="J58" s="347">
        <v>70.715966</v>
      </c>
      <c r="K58" s="194">
        <v>4981.9765640000005</v>
      </c>
      <c r="L58" s="184">
        <v>9516.751544</v>
      </c>
      <c r="P58" s="561"/>
      <c r="Q58" s="562"/>
      <c r="R58" s="563"/>
      <c r="S58" s="562"/>
      <c r="T58" s="562"/>
      <c r="U58" s="562"/>
      <c r="V58" s="562"/>
      <c r="W58" s="563"/>
      <c r="X58" s="562"/>
      <c r="Y58" s="562"/>
      <c r="Z58" s="562"/>
    </row>
    <row r="59" spans="1:26" ht="12.75">
      <c r="A59" s="235">
        <v>2009</v>
      </c>
      <c r="B59" s="236">
        <v>17000.664144999995</v>
      </c>
      <c r="C59" s="565">
        <v>1795.9593729999997</v>
      </c>
      <c r="D59" s="196">
        <v>118.967055</v>
      </c>
      <c r="E59" s="557">
        <v>206.819823</v>
      </c>
      <c r="F59" s="196">
        <v>1470.1724949999996</v>
      </c>
      <c r="G59" s="195"/>
      <c r="H59" s="553">
        <v>15204.704771999996</v>
      </c>
      <c r="I59" s="558"/>
      <c r="J59" s="557">
        <v>55.931504</v>
      </c>
      <c r="K59" s="196">
        <v>5245.784505999998</v>
      </c>
      <c r="L59" s="183">
        <v>9902.988761999997</v>
      </c>
      <c r="P59" s="561"/>
      <c r="Q59" s="562"/>
      <c r="R59" s="563"/>
      <c r="S59" s="562"/>
      <c r="T59" s="562"/>
      <c r="U59" s="562"/>
      <c r="V59" s="562"/>
      <c r="W59" s="563"/>
      <c r="X59" s="562"/>
      <c r="Y59" s="562"/>
      <c r="Z59" s="562"/>
    </row>
    <row r="60" spans="1:26" ht="12.75">
      <c r="A60" s="320">
        <v>2010</v>
      </c>
      <c r="B60" s="566">
        <v>18195.325098</v>
      </c>
      <c r="C60" s="567">
        <v>1764.474529</v>
      </c>
      <c r="D60" s="568">
        <v>13.691666000000001</v>
      </c>
      <c r="E60" s="435">
        <v>223.63291900000002</v>
      </c>
      <c r="F60" s="568">
        <v>1527.149944</v>
      </c>
      <c r="G60" s="569"/>
      <c r="H60" s="570">
        <v>16430.850569000002</v>
      </c>
      <c r="I60" s="571"/>
      <c r="J60" s="435">
        <v>62.496254</v>
      </c>
      <c r="K60" s="568">
        <v>5832.762108</v>
      </c>
      <c r="L60" s="572">
        <v>10535.592207000002</v>
      </c>
      <c r="P60" s="561"/>
      <c r="Q60" s="562"/>
      <c r="R60" s="563"/>
      <c r="S60" s="562"/>
      <c r="T60" s="562"/>
      <c r="U60" s="562"/>
      <c r="V60" s="562"/>
      <c r="W60" s="563"/>
      <c r="X60" s="562"/>
      <c r="Y60" s="562"/>
      <c r="Z60" s="562"/>
    </row>
    <row r="61" spans="1:26" ht="12.75">
      <c r="A61" s="235">
        <v>2011</v>
      </c>
      <c r="B61" s="236">
        <v>19744.523815</v>
      </c>
      <c r="C61" s="565">
        <v>1862.058657</v>
      </c>
      <c r="D61" s="196">
        <v>24.614012</v>
      </c>
      <c r="E61" s="557">
        <v>282.07516</v>
      </c>
      <c r="F61" s="196">
        <v>1555.369485</v>
      </c>
      <c r="G61" s="195"/>
      <c r="H61" s="553">
        <v>17882.465158</v>
      </c>
      <c r="I61" s="558"/>
      <c r="J61" s="557">
        <v>67.230257</v>
      </c>
      <c r="K61" s="196">
        <v>6584.338704</v>
      </c>
      <c r="L61" s="183">
        <v>11230.896197</v>
      </c>
      <c r="P61" s="561"/>
      <c r="Q61" s="562"/>
      <c r="R61" s="563"/>
      <c r="S61" s="562"/>
      <c r="T61" s="562"/>
      <c r="U61" s="562"/>
      <c r="V61" s="562"/>
      <c r="W61" s="563"/>
      <c r="X61" s="562"/>
      <c r="Y61" s="562"/>
      <c r="Z61" s="562"/>
    </row>
    <row r="62" spans="1:24" ht="13.5" thickBot="1">
      <c r="A62" s="250"/>
      <c r="B62" s="990"/>
      <c r="C62" s="991"/>
      <c r="D62" s="992"/>
      <c r="E62" s="993"/>
      <c r="F62" s="992"/>
      <c r="G62" s="994"/>
      <c r="H62" s="995"/>
      <c r="I62" s="559"/>
      <c r="J62" s="993"/>
      <c r="K62" s="992"/>
      <c r="L62" s="996"/>
      <c r="P62" s="105"/>
      <c r="R62" s="548"/>
      <c r="S62" s="548"/>
      <c r="X62" s="548"/>
    </row>
    <row r="63" spans="1:16" ht="21" customHeight="1">
      <c r="A63" s="971" t="s">
        <v>167</v>
      </c>
      <c r="B63" s="524">
        <v>0.0851426786087095</v>
      </c>
      <c r="C63" s="950">
        <v>0.055304923021646024</v>
      </c>
      <c r="D63" s="997">
        <v>0.7977368130364848</v>
      </c>
      <c r="E63" s="998">
        <v>0.26133111914529894</v>
      </c>
      <c r="F63" s="999">
        <v>0.01847856597898012</v>
      </c>
      <c r="G63" s="575"/>
      <c r="H63" s="1000">
        <v>0.088346892505903</v>
      </c>
      <c r="I63" s="575"/>
      <c r="J63" s="529">
        <v>0.07574858806737428</v>
      </c>
      <c r="K63" s="198">
        <v>0.12885432014605325</v>
      </c>
      <c r="L63" s="525">
        <v>0.06599571968417961</v>
      </c>
      <c r="P63" s="26"/>
    </row>
    <row r="64" spans="1:16" ht="21" customHeight="1">
      <c r="A64" s="539" t="s">
        <v>171</v>
      </c>
      <c r="B64" s="719">
        <v>0.07051659873324945</v>
      </c>
      <c r="C64" s="326">
        <v>-0.0012908348998811325</v>
      </c>
      <c r="D64" s="1001">
        <v>-0.2721066750175347</v>
      </c>
      <c r="E64" s="1002">
        <v>-0.03476363173962138</v>
      </c>
      <c r="F64" s="1003">
        <v>0.01880903208948581</v>
      </c>
      <c r="G64" s="576"/>
      <c r="H64" s="1004">
        <v>0.08001757777317287</v>
      </c>
      <c r="I64" s="576"/>
      <c r="J64" s="536">
        <v>0.03387632542824903</v>
      </c>
      <c r="K64" s="199">
        <v>0.1089080383587151</v>
      </c>
      <c r="L64" s="532">
        <v>0.06529586231317674</v>
      </c>
      <c r="P64" s="26"/>
    </row>
    <row r="65" spans="1:12" ht="21" customHeight="1">
      <c r="A65" s="977" t="s">
        <v>169</v>
      </c>
      <c r="B65" s="540">
        <v>0.9987043456337266</v>
      </c>
      <c r="C65" s="380">
        <v>-0.12283867102579238</v>
      </c>
      <c r="D65" s="1005">
        <v>-0.9241061550809396</v>
      </c>
      <c r="E65" s="203">
        <v>-0.5762552508509431</v>
      </c>
      <c r="F65" s="203">
        <v>0.3729951635159685</v>
      </c>
      <c r="G65" s="576"/>
      <c r="H65" s="1006">
        <v>1.3056779838388644</v>
      </c>
      <c r="I65" s="576"/>
      <c r="J65" s="1007">
        <v>7.135965464816227</v>
      </c>
      <c r="K65" s="203">
        <v>2.444889908010205</v>
      </c>
      <c r="L65" s="1008">
        <v>0.924337704717723</v>
      </c>
    </row>
    <row r="66" spans="1:12" ht="21" customHeight="1" thickBot="1">
      <c r="A66" s="982" t="s">
        <v>170</v>
      </c>
      <c r="B66" s="547">
        <v>0.0649783470923413</v>
      </c>
      <c r="C66" s="382">
        <v>-0.011844238904695992</v>
      </c>
      <c r="D66" s="1009">
        <v>-0.20895608167845459</v>
      </c>
      <c r="E66" s="1010">
        <v>-0.07508804366573485</v>
      </c>
      <c r="F66" s="1011">
        <v>0.029236938513596655</v>
      </c>
      <c r="G66" s="576"/>
      <c r="H66" s="721">
        <v>0.07890124858501535</v>
      </c>
      <c r="I66" s="576"/>
      <c r="J66" s="1012">
        <v>0.20994175181556307</v>
      </c>
      <c r="K66" s="1011">
        <v>0.11901039904665867</v>
      </c>
      <c r="L66" s="1013">
        <v>0.06131365896118113</v>
      </c>
    </row>
    <row r="67" spans="1:9" ht="12.75">
      <c r="A67" s="110"/>
      <c r="I67" s="200"/>
    </row>
    <row r="68" spans="1:6" ht="12.75">
      <c r="A68" s="34"/>
      <c r="F68" s="105"/>
    </row>
    <row r="69" spans="1:9" ht="12.75">
      <c r="A69" s="110"/>
      <c r="E69" s="77"/>
      <c r="H69" s="77"/>
      <c r="I69" s="77"/>
    </row>
    <row r="70" spans="1:11" ht="12.75">
      <c r="A70" s="110"/>
      <c r="G70" s="77"/>
      <c r="H70" s="77"/>
      <c r="I70" s="77"/>
      <c r="K70" s="77"/>
    </row>
    <row r="71" spans="7:9" ht="12.75">
      <c r="G71" s="77"/>
      <c r="H71" s="77"/>
      <c r="I71" s="77"/>
    </row>
    <row r="72" spans="1:11" ht="15.75">
      <c r="A72" s="88" t="s">
        <v>125</v>
      </c>
      <c r="G72" s="77"/>
      <c r="H72" s="77"/>
      <c r="I72" s="77"/>
      <c r="J72" s="77"/>
      <c r="K72" s="77"/>
    </row>
    <row r="73" spans="1:11" ht="12.75">
      <c r="A73" s="34"/>
      <c r="G73" s="77"/>
      <c r="H73" s="77"/>
      <c r="I73" s="77"/>
      <c r="J73" s="77"/>
      <c r="K73" s="77"/>
    </row>
    <row r="74" spans="7:11" ht="13.5" thickBot="1">
      <c r="G74" s="77"/>
      <c r="H74" s="77"/>
      <c r="I74" s="77"/>
      <c r="J74" s="77"/>
      <c r="K74" s="77"/>
    </row>
    <row r="75" spans="1:11" ht="12.75">
      <c r="A75" s="577" t="s">
        <v>47</v>
      </c>
      <c r="B75" s="578" t="s">
        <v>64</v>
      </c>
      <c r="C75" s="1612" t="s">
        <v>113</v>
      </c>
      <c r="D75" s="1612"/>
      <c r="E75" s="1612"/>
      <c r="F75" s="1613"/>
      <c r="G75" s="77"/>
      <c r="H75" s="111"/>
      <c r="I75" s="77"/>
      <c r="J75" s="77"/>
      <c r="K75" s="77"/>
    </row>
    <row r="76" spans="1:11" ht="13.5" thickBot="1">
      <c r="A76" s="579"/>
      <c r="B76" s="580"/>
      <c r="C76" s="550" t="s">
        <v>114</v>
      </c>
      <c r="D76" s="508" t="s">
        <v>115</v>
      </c>
      <c r="E76" s="550" t="s">
        <v>116</v>
      </c>
      <c r="F76" s="581" t="s">
        <v>117</v>
      </c>
      <c r="G76" s="77"/>
      <c r="H76" s="77"/>
      <c r="I76" s="77"/>
      <c r="J76" s="77"/>
      <c r="K76" s="77"/>
    </row>
    <row r="77" spans="1:11" ht="12.75">
      <c r="A77" s="233"/>
      <c r="B77" s="234"/>
      <c r="C77" s="252"/>
      <c r="D77" s="166"/>
      <c r="E77" s="252"/>
      <c r="F77" s="336"/>
      <c r="G77" s="77"/>
      <c r="H77" s="111"/>
      <c r="I77" s="77"/>
      <c r="J77" s="77"/>
      <c r="K77" s="77"/>
    </row>
    <row r="78" spans="1:11" ht="12.75">
      <c r="A78" s="235">
        <v>1995</v>
      </c>
      <c r="B78" s="236">
        <v>1175.548041</v>
      </c>
      <c r="C78" s="182">
        <v>388.776575</v>
      </c>
      <c r="D78" s="147">
        <v>157.521388</v>
      </c>
      <c r="E78" s="182">
        <v>625.4234839999999</v>
      </c>
      <c r="F78" s="213">
        <v>3.826594</v>
      </c>
      <c r="G78" s="77"/>
      <c r="H78" s="111"/>
      <c r="I78" s="77"/>
      <c r="J78" s="77"/>
      <c r="K78" s="77"/>
    </row>
    <row r="79" spans="1:11" ht="12.75">
      <c r="A79" s="240">
        <v>1996</v>
      </c>
      <c r="B79" s="241">
        <v>1560.228862</v>
      </c>
      <c r="C79" s="134">
        <v>812.315019</v>
      </c>
      <c r="D79" s="144">
        <v>235.494908</v>
      </c>
      <c r="E79" s="134">
        <v>507.4129750000001</v>
      </c>
      <c r="F79" s="217">
        <v>5.00596</v>
      </c>
      <c r="G79" s="77"/>
      <c r="H79" s="111"/>
      <c r="I79" s="77"/>
      <c r="J79" s="77"/>
      <c r="K79" s="77"/>
    </row>
    <row r="80" spans="1:11" ht="12.75">
      <c r="A80" s="235">
        <v>1997</v>
      </c>
      <c r="B80" s="236">
        <v>3073.3354799999997</v>
      </c>
      <c r="C80" s="182">
        <v>1623.8824859999997</v>
      </c>
      <c r="D80" s="147">
        <v>746.3111969999999</v>
      </c>
      <c r="E80" s="182">
        <v>698.8236230000001</v>
      </c>
      <c r="F80" s="213">
        <v>4.318174000000001</v>
      </c>
      <c r="G80" s="77"/>
      <c r="H80" s="111"/>
      <c r="I80" s="582"/>
      <c r="J80" s="77"/>
      <c r="K80" s="77"/>
    </row>
    <row r="81" spans="1:11" ht="12.75">
      <c r="A81" s="240">
        <v>1998</v>
      </c>
      <c r="B81" s="241">
        <v>4129.915250000001</v>
      </c>
      <c r="C81" s="134">
        <v>1909.533476</v>
      </c>
      <c r="D81" s="144">
        <v>1036.756995</v>
      </c>
      <c r="E81" s="134">
        <v>1182.2233990000002</v>
      </c>
      <c r="F81" s="217">
        <v>1.40138</v>
      </c>
      <c r="G81" s="77"/>
      <c r="H81" s="111"/>
      <c r="I81" s="77"/>
      <c r="J81" s="77"/>
      <c r="K81" s="77"/>
    </row>
    <row r="82" spans="1:11" ht="12.75">
      <c r="A82" s="235">
        <v>1999</v>
      </c>
      <c r="B82" s="236">
        <v>4393.000532</v>
      </c>
      <c r="C82" s="182">
        <v>2236.1380099999997</v>
      </c>
      <c r="D82" s="147">
        <v>1091.03932</v>
      </c>
      <c r="E82" s="182">
        <v>1065.823202</v>
      </c>
      <c r="F82" s="213"/>
      <c r="G82" s="77"/>
      <c r="H82" s="111"/>
      <c r="I82" s="77"/>
      <c r="J82" s="77"/>
      <c r="K82" s="77"/>
    </row>
    <row r="83" spans="1:11" ht="12.75">
      <c r="A83" s="240">
        <v>2000</v>
      </c>
      <c r="B83" s="241">
        <v>4782.326121</v>
      </c>
      <c r="C83" s="134">
        <v>2327.4021159999998</v>
      </c>
      <c r="D83" s="144">
        <v>1171.5316189999999</v>
      </c>
      <c r="E83" s="134">
        <v>1283.392386</v>
      </c>
      <c r="F83" s="217"/>
      <c r="G83" s="77"/>
      <c r="H83" s="111"/>
      <c r="I83" s="77"/>
      <c r="J83" s="77"/>
      <c r="K83" s="77"/>
    </row>
    <row r="84" spans="1:19" ht="12.75">
      <c r="A84" s="235">
        <v>2001</v>
      </c>
      <c r="B84" s="236">
        <v>6106.37982</v>
      </c>
      <c r="C84" s="557">
        <v>3308.9557990000003</v>
      </c>
      <c r="D84" s="196">
        <v>1463.010176</v>
      </c>
      <c r="E84" s="557">
        <v>1334.413845</v>
      </c>
      <c r="F84" s="222"/>
      <c r="G84" s="77"/>
      <c r="P84" s="111"/>
      <c r="Q84" s="77"/>
      <c r="R84" s="77"/>
      <c r="S84" s="77"/>
    </row>
    <row r="85" spans="1:19" ht="12.75">
      <c r="A85" s="240">
        <v>2002</v>
      </c>
      <c r="B85" s="241">
        <v>6491.778750848</v>
      </c>
      <c r="C85" s="347">
        <v>4126.7293199999995</v>
      </c>
      <c r="D85" s="194">
        <v>1229.957198</v>
      </c>
      <c r="E85" s="347">
        <v>1135.092232848</v>
      </c>
      <c r="F85" s="221"/>
      <c r="G85" s="77"/>
      <c r="P85" s="111"/>
      <c r="Q85" s="77"/>
      <c r="R85" s="77"/>
      <c r="S85" s="77"/>
    </row>
    <row r="86" spans="1:19" ht="12.75">
      <c r="A86" s="235">
        <v>2003</v>
      </c>
      <c r="B86" s="236">
        <v>7071.721837000001</v>
      </c>
      <c r="C86" s="557">
        <v>4521.4221450000005</v>
      </c>
      <c r="D86" s="196">
        <v>1219.36647</v>
      </c>
      <c r="E86" s="557">
        <v>1330.9332220000001</v>
      </c>
      <c r="F86" s="222"/>
      <c r="P86" s="6"/>
      <c r="Q86" s="803"/>
      <c r="R86" s="803"/>
      <c r="S86" s="803"/>
    </row>
    <row r="87" spans="1:19" ht="12.75">
      <c r="A87" s="240">
        <v>2004</v>
      </c>
      <c r="B87" s="241">
        <v>7639.345794</v>
      </c>
      <c r="C87" s="347">
        <v>4566.413031</v>
      </c>
      <c r="D87" s="194">
        <v>1547.5363389999998</v>
      </c>
      <c r="E87" s="347">
        <v>1525.3964239999998</v>
      </c>
      <c r="F87" s="221"/>
      <c r="P87" s="6"/>
      <c r="Q87" s="803"/>
      <c r="R87" s="803"/>
      <c r="S87" s="803"/>
    </row>
    <row r="88" spans="1:19" ht="12.75">
      <c r="A88" s="235">
        <v>2005</v>
      </c>
      <c r="B88" s="236">
        <v>7787.095080000001</v>
      </c>
      <c r="C88" s="557">
        <v>4707.242781000001</v>
      </c>
      <c r="D88" s="196">
        <v>1513.790124</v>
      </c>
      <c r="E88" s="557">
        <v>1566.062175</v>
      </c>
      <c r="F88" s="222"/>
      <c r="P88" s="6"/>
      <c r="Q88" s="803"/>
      <c r="R88" s="803"/>
      <c r="S88" s="803"/>
    </row>
    <row r="89" spans="1:19" ht="12.75">
      <c r="A89" s="240">
        <v>2006</v>
      </c>
      <c r="B89" s="241">
        <v>8246.422825999998</v>
      </c>
      <c r="C89" s="347">
        <v>5178.397661999999</v>
      </c>
      <c r="D89" s="194">
        <v>1646.359191</v>
      </c>
      <c r="E89" s="347">
        <v>1421.665973</v>
      </c>
      <c r="F89" s="221"/>
      <c r="P89" s="6"/>
      <c r="Q89" s="803"/>
      <c r="R89" s="803"/>
      <c r="S89" s="803"/>
    </row>
    <row r="90" spans="1:19" ht="12.75">
      <c r="A90" s="235">
        <v>2007</v>
      </c>
      <c r="B90" s="236">
        <v>9689.567698</v>
      </c>
      <c r="C90" s="557">
        <v>6265.436743</v>
      </c>
      <c r="D90" s="196">
        <v>1802.2825960000002</v>
      </c>
      <c r="E90" s="557">
        <v>1621.848359</v>
      </c>
      <c r="F90" s="222"/>
      <c r="P90" s="583"/>
      <c r="Q90" s="584"/>
      <c r="R90" s="584"/>
      <c r="S90" s="584"/>
    </row>
    <row r="91" spans="1:19" ht="12.75">
      <c r="A91" s="240">
        <v>2008</v>
      </c>
      <c r="B91" s="241">
        <v>10667.238051</v>
      </c>
      <c r="C91" s="347">
        <v>6947.278484</v>
      </c>
      <c r="D91" s="194">
        <v>1874.5323819999999</v>
      </c>
      <c r="E91" s="347">
        <v>1845.427185</v>
      </c>
      <c r="F91" s="221"/>
      <c r="P91" s="583"/>
      <c r="Q91" s="584"/>
      <c r="R91" s="584"/>
      <c r="S91" s="584"/>
    </row>
    <row r="92" spans="1:19" ht="12.75">
      <c r="A92" s="235">
        <v>2009</v>
      </c>
      <c r="B92" s="236">
        <v>10086.341632</v>
      </c>
      <c r="C92" s="557">
        <v>6962.139324</v>
      </c>
      <c r="D92" s="196">
        <v>1412.491532</v>
      </c>
      <c r="E92" s="557">
        <v>1711.710776</v>
      </c>
      <c r="F92" s="222"/>
      <c r="P92" s="583"/>
      <c r="Q92" s="584"/>
      <c r="R92" s="584"/>
      <c r="S92" s="584"/>
    </row>
    <row r="93" spans="1:19" ht="12.75">
      <c r="A93" s="240">
        <v>2010</v>
      </c>
      <c r="B93" s="241">
        <v>11240.850026</v>
      </c>
      <c r="C93" s="347">
        <v>8179.735762</v>
      </c>
      <c r="D93" s="194">
        <v>1169.349653</v>
      </c>
      <c r="E93" s="347">
        <v>1891.764611</v>
      </c>
      <c r="F93" s="221"/>
      <c r="P93" s="583"/>
      <c r="Q93" s="584"/>
      <c r="R93" s="584"/>
      <c r="S93" s="584"/>
    </row>
    <row r="94" spans="1:19" ht="12.75">
      <c r="A94" s="235">
        <v>2011</v>
      </c>
      <c r="B94" s="236">
        <v>12051.024123000001</v>
      </c>
      <c r="C94" s="557">
        <v>8308.916089</v>
      </c>
      <c r="D94" s="196">
        <v>1506.6869590000001</v>
      </c>
      <c r="E94" s="557">
        <v>2235.421075</v>
      </c>
      <c r="F94" s="222"/>
      <c r="P94" s="583"/>
      <c r="Q94" s="584"/>
      <c r="R94" s="584"/>
      <c r="S94" s="584"/>
    </row>
    <row r="95" spans="1:19" ht="13.5" thickBot="1">
      <c r="A95" s="250"/>
      <c r="B95" s="990"/>
      <c r="C95" s="993"/>
      <c r="D95" s="992"/>
      <c r="E95" s="993"/>
      <c r="F95" s="1014"/>
      <c r="P95" s="585"/>
      <c r="Q95" s="803"/>
      <c r="R95" s="26"/>
      <c r="S95" s="26"/>
    </row>
    <row r="96" spans="1:16" ht="21" customHeight="1">
      <c r="A96" s="523" t="s">
        <v>167</v>
      </c>
      <c r="B96" s="524">
        <v>0.0720740953865655</v>
      </c>
      <c r="C96" s="198">
        <v>0.015792726166060644</v>
      </c>
      <c r="D96" s="198">
        <v>0.28848283756235915</v>
      </c>
      <c r="E96" s="530">
        <v>0.18165920960871595</v>
      </c>
      <c r="F96" s="1015"/>
      <c r="O96" s="95"/>
      <c r="P96" s="105"/>
    </row>
    <row r="97" spans="1:6" ht="21" customHeight="1">
      <c r="A97" s="977" t="s">
        <v>171</v>
      </c>
      <c r="B97" s="719">
        <v>0.07882666285009132</v>
      </c>
      <c r="C97" s="199">
        <v>0.09918247375523803</v>
      </c>
      <c r="D97" s="199">
        <v>-0.017574362481247774</v>
      </c>
      <c r="E97" s="354">
        <v>0.0947434474855593</v>
      </c>
      <c r="F97" s="1016"/>
    </row>
    <row r="98" spans="1:6" ht="21.75" customHeight="1">
      <c r="A98" s="539" t="s">
        <v>169</v>
      </c>
      <c r="B98" s="540">
        <v>1.91798339517984</v>
      </c>
      <c r="C98" s="1017">
        <v>3.3512806627538803</v>
      </c>
      <c r="D98" s="1017">
        <v>0.453269152044641</v>
      </c>
      <c r="E98" s="1005">
        <v>0.8908618091055054</v>
      </c>
      <c r="F98" s="1016"/>
    </row>
    <row r="99" spans="1:6" ht="21" customHeight="1" thickBot="1">
      <c r="A99" s="546" t="s">
        <v>170</v>
      </c>
      <c r="B99" s="547">
        <v>0.10225037694847727</v>
      </c>
      <c r="C99" s="1018">
        <v>0.14302597487279978</v>
      </c>
      <c r="D99" s="1018">
        <v>0.03456726406404398</v>
      </c>
      <c r="E99" s="1009">
        <v>0.05962181317157933</v>
      </c>
      <c r="F99" s="1016"/>
    </row>
    <row r="100" ht="12.75">
      <c r="A100" s="110"/>
    </row>
    <row r="101" ht="12.75">
      <c r="A101" s="110"/>
    </row>
    <row r="102" ht="12.75">
      <c r="A102" s="34"/>
    </row>
    <row r="104" spans="20:24" ht="12.75">
      <c r="T104" s="588"/>
      <c r="U104" s="588"/>
      <c r="V104" s="588"/>
      <c r="W104" s="588"/>
      <c r="X104" s="588"/>
    </row>
    <row r="106" spans="20:24" ht="12.75">
      <c r="T106" s="32"/>
      <c r="U106" s="32"/>
      <c r="V106" s="32"/>
      <c r="W106" s="32"/>
      <c r="X106" s="105"/>
    </row>
    <row r="107" spans="20:24" ht="12.75">
      <c r="T107" s="105"/>
      <c r="U107" s="105"/>
      <c r="V107" s="105"/>
      <c r="W107" s="105"/>
      <c r="X107" s="105"/>
    </row>
    <row r="108" spans="20:24" ht="12.75">
      <c r="T108" s="105"/>
      <c r="U108" s="105"/>
      <c r="V108" s="105"/>
      <c r="W108" s="105"/>
      <c r="X108" s="105"/>
    </row>
    <row r="109" spans="20:24" ht="12.75">
      <c r="T109" s="105"/>
      <c r="U109" s="105"/>
      <c r="V109" s="105"/>
      <c r="W109" s="105"/>
      <c r="X109" s="105"/>
    </row>
    <row r="110" spans="20:24" ht="12.75">
      <c r="T110" s="105"/>
      <c r="U110" s="105"/>
      <c r="V110" s="105"/>
      <c r="W110" s="105"/>
      <c r="X110" s="105"/>
    </row>
    <row r="111" spans="20:24" ht="12.75">
      <c r="T111" s="105"/>
      <c r="U111" s="105"/>
      <c r="V111" s="105"/>
      <c r="W111" s="105"/>
      <c r="X111" s="105"/>
    </row>
    <row r="112" spans="20:24" ht="12.75">
      <c r="T112" s="105"/>
      <c r="U112" s="105"/>
      <c r="V112" s="105"/>
      <c r="W112" s="105"/>
      <c r="X112" s="105"/>
    </row>
    <row r="113" spans="20:24" ht="12.75">
      <c r="T113" s="105"/>
      <c r="U113" s="105"/>
      <c r="V113" s="105"/>
      <c r="W113" s="105"/>
      <c r="X113" s="105"/>
    </row>
    <row r="114" spans="20:24" ht="12.75">
      <c r="T114" s="105"/>
      <c r="U114" s="105"/>
      <c r="V114" s="105"/>
      <c r="W114" s="105"/>
      <c r="X114" s="105"/>
    </row>
    <row r="115" spans="20:24" ht="12.75">
      <c r="T115" s="105"/>
      <c r="U115" s="105"/>
      <c r="V115" s="105"/>
      <c r="W115" s="105"/>
      <c r="X115" s="105"/>
    </row>
    <row r="116" spans="20:24" ht="12.75">
      <c r="T116" s="105"/>
      <c r="U116" s="105"/>
      <c r="V116" s="105"/>
      <c r="W116" s="105"/>
      <c r="X116" s="105"/>
    </row>
    <row r="118" ht="21.75" customHeight="1"/>
    <row r="119" ht="21.75" customHeight="1"/>
    <row r="120" ht="21.75" customHeight="1"/>
    <row r="121" ht="21.75" customHeight="1"/>
  </sheetData>
  <sheetProtection password="B728" sheet="1"/>
  <mergeCells count="7">
    <mergeCell ref="C75:F75"/>
    <mergeCell ref="C5:E5"/>
    <mergeCell ref="F5:H5"/>
    <mergeCell ref="I5:K5"/>
    <mergeCell ref="C15:E15"/>
    <mergeCell ref="C42:G42"/>
    <mergeCell ref="H42:L42"/>
  </mergeCells>
  <printOptions/>
  <pageMargins left="0.73" right="0.45" top="1.24" bottom="1" header="0" footer="0"/>
  <pageSetup fitToHeight="1" fitToWidth="1" horizontalDpi="600" verticalDpi="600" orientation="portrait" paperSize="9" scale="5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7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</cols>
  <sheetData>
    <row r="6" ht="18">
      <c r="A6" s="10" t="s">
        <v>126</v>
      </c>
    </row>
    <row r="8" spans="3:11" ht="15">
      <c r="C8" s="103"/>
      <c r="D8" s="103"/>
      <c r="E8" s="103"/>
      <c r="F8" s="103"/>
      <c r="G8" s="103"/>
      <c r="H8" s="104"/>
      <c r="I8" s="104"/>
      <c r="J8" s="104"/>
      <c r="K8" s="104"/>
    </row>
    <row r="9" spans="2:11" ht="18">
      <c r="B9" s="10" t="s">
        <v>127</v>
      </c>
      <c r="K9" s="15"/>
    </row>
    <row r="11" spans="2:11" ht="12.75">
      <c r="B11" s="1621" t="s">
        <v>47</v>
      </c>
      <c r="C11" s="1623" t="s">
        <v>122</v>
      </c>
      <c r="D11" s="1624"/>
      <c r="E11" s="1624"/>
      <c r="F11" s="1623" t="s">
        <v>108</v>
      </c>
      <c r="G11" s="1624"/>
      <c r="H11" s="1624"/>
      <c r="I11" s="1625" t="s">
        <v>109</v>
      </c>
      <c r="J11" s="1624"/>
      <c r="K11" s="1626"/>
    </row>
    <row r="12" spans="2:11" ht="12.75">
      <c r="B12" s="1622"/>
      <c r="C12" s="590" t="s">
        <v>55</v>
      </c>
      <c r="D12" s="591" t="s">
        <v>110</v>
      </c>
      <c r="E12" s="592" t="s">
        <v>111</v>
      </c>
      <c r="F12" s="593" t="s">
        <v>112</v>
      </c>
      <c r="G12" s="591" t="s">
        <v>110</v>
      </c>
      <c r="H12" s="592" t="s">
        <v>111</v>
      </c>
      <c r="I12" s="594" t="s">
        <v>55</v>
      </c>
      <c r="J12" s="591" t="s">
        <v>110</v>
      </c>
      <c r="K12" s="595" t="s">
        <v>111</v>
      </c>
    </row>
    <row r="13" spans="2:11" ht="12.75">
      <c r="B13" s="596"/>
      <c r="C13" s="597"/>
      <c r="D13" s="598"/>
      <c r="E13" s="599"/>
      <c r="F13" s="600"/>
      <c r="G13" s="598"/>
      <c r="H13" s="599"/>
      <c r="I13" s="601"/>
      <c r="J13" s="598"/>
      <c r="K13" s="602"/>
    </row>
    <row r="14" spans="2:16" ht="12.75">
      <c r="B14" s="366">
        <v>1995</v>
      </c>
      <c r="C14" s="480">
        <f>SUM(D14:E14)</f>
        <v>826676.0016897423</v>
      </c>
      <c r="D14" s="147">
        <f aca="true" t="shared" si="0" ref="D14:E19">(G14+J14)</f>
        <v>652594.7050503913</v>
      </c>
      <c r="E14" s="182">
        <f t="shared" si="0"/>
        <v>174081.29663935103</v>
      </c>
      <c r="F14" s="603">
        <f aca="true" t="shared" si="1" ref="F14:F29">SUM(G14:H14)</f>
        <v>776779.1913939897</v>
      </c>
      <c r="G14" s="147">
        <v>652594.7050503913</v>
      </c>
      <c r="H14" s="182">
        <v>124184.48634359846</v>
      </c>
      <c r="I14" s="140">
        <f aca="true" t="shared" si="2" ref="I14:I30">SUM(J14:K14)</f>
        <v>49896.81029575256</v>
      </c>
      <c r="J14" s="147"/>
      <c r="K14" s="554">
        <v>49896.81029575256</v>
      </c>
      <c r="L14" s="24"/>
      <c r="M14" s="13"/>
      <c r="O14" s="106"/>
      <c r="P14" s="106"/>
    </row>
    <row r="15" spans="2:16" ht="12.75">
      <c r="B15" s="604">
        <v>1996</v>
      </c>
      <c r="C15" s="605">
        <f>SUM(D15:E15)</f>
        <v>893370.3951408174</v>
      </c>
      <c r="D15" s="226">
        <f t="shared" si="0"/>
        <v>703942.0843935553</v>
      </c>
      <c r="E15" s="208">
        <f t="shared" si="0"/>
        <v>189428.31074726206</v>
      </c>
      <c r="F15" s="606">
        <f t="shared" si="1"/>
        <v>822460.2785926422</v>
      </c>
      <c r="G15" s="226">
        <v>703942.0843935553</v>
      </c>
      <c r="H15" s="208">
        <v>118518.1941990869</v>
      </c>
      <c r="I15" s="227">
        <f t="shared" si="2"/>
        <v>70910.11654817517</v>
      </c>
      <c r="J15" s="226"/>
      <c r="K15" s="607">
        <v>70910.11654817517</v>
      </c>
      <c r="L15" s="24"/>
      <c r="M15" s="13"/>
      <c r="O15" s="106"/>
      <c r="P15" s="106"/>
    </row>
    <row r="16" spans="2:16" ht="12.75">
      <c r="B16" s="366">
        <v>1997</v>
      </c>
      <c r="C16" s="480">
        <f>SUM(D16:E16)</f>
        <v>1019537.5366169369</v>
      </c>
      <c r="D16" s="147">
        <f t="shared" si="0"/>
        <v>739882.0685993778</v>
      </c>
      <c r="E16" s="182">
        <f t="shared" si="0"/>
        <v>279655.46801755915</v>
      </c>
      <c r="F16" s="603">
        <f t="shared" si="1"/>
        <v>859351.6795904302</v>
      </c>
      <c r="G16" s="147">
        <v>739882.0685993778</v>
      </c>
      <c r="H16" s="182">
        <v>119469.61099105242</v>
      </c>
      <c r="I16" s="140">
        <f t="shared" si="2"/>
        <v>160185.8570265067</v>
      </c>
      <c r="J16" s="147"/>
      <c r="K16" s="554">
        <v>160185.8570265067</v>
      </c>
      <c r="L16" s="24"/>
      <c r="M16" s="13"/>
      <c r="O16" s="106"/>
      <c r="P16" s="106"/>
    </row>
    <row r="17" spans="2:16" ht="12.75">
      <c r="B17" s="604">
        <v>1998</v>
      </c>
      <c r="C17" s="605">
        <f aca="true" t="shared" si="3" ref="C17:C29">SUM(D17:E17)</f>
        <v>988144.9705452514</v>
      </c>
      <c r="D17" s="226">
        <f t="shared" si="0"/>
        <v>678887.1489557544</v>
      </c>
      <c r="E17" s="208">
        <f t="shared" si="0"/>
        <v>309257.8215894971</v>
      </c>
      <c r="F17" s="606">
        <f t="shared" si="1"/>
        <v>786060.9996556386</v>
      </c>
      <c r="G17" s="226">
        <v>678887.1489557544</v>
      </c>
      <c r="H17" s="208">
        <v>107173.85069988419</v>
      </c>
      <c r="I17" s="227">
        <f t="shared" si="2"/>
        <v>202083.9708896129</v>
      </c>
      <c r="J17" s="226"/>
      <c r="K17" s="607">
        <v>202083.9708896129</v>
      </c>
      <c r="L17" s="24"/>
      <c r="M17" s="13"/>
      <c r="O17" s="106"/>
      <c r="P17" s="106"/>
    </row>
    <row r="18" spans="2:16" ht="12.75">
      <c r="B18" s="366">
        <v>1999</v>
      </c>
      <c r="C18" s="480">
        <f t="shared" si="3"/>
        <v>991959.3682667302</v>
      </c>
      <c r="D18" s="147">
        <f t="shared" si="0"/>
        <v>670509.978649152</v>
      </c>
      <c r="E18" s="182">
        <f t="shared" si="0"/>
        <v>321449.38961757824</v>
      </c>
      <c r="F18" s="603">
        <f t="shared" si="1"/>
        <v>778389.1398539399</v>
      </c>
      <c r="G18" s="147">
        <v>670509.978649152</v>
      </c>
      <c r="H18" s="182">
        <v>107879.16120478789</v>
      </c>
      <c r="I18" s="140">
        <f t="shared" si="2"/>
        <v>213570.22841279037</v>
      </c>
      <c r="J18" s="147"/>
      <c r="K18" s="554">
        <v>213570.22841279037</v>
      </c>
      <c r="L18" s="24"/>
      <c r="M18" s="13"/>
      <c r="O18" s="106"/>
      <c r="P18" s="106"/>
    </row>
    <row r="19" spans="2:16" ht="12.75">
      <c r="B19" s="604">
        <v>2000</v>
      </c>
      <c r="C19" s="605">
        <f t="shared" si="3"/>
        <v>1113069.5002683792</v>
      </c>
      <c r="D19" s="226">
        <f t="shared" si="0"/>
        <v>740329.4393599222</v>
      </c>
      <c r="E19" s="208">
        <f t="shared" si="0"/>
        <v>372740.06090845715</v>
      </c>
      <c r="F19" s="606">
        <f t="shared" si="1"/>
        <v>866072.136728225</v>
      </c>
      <c r="G19" s="226">
        <v>740329.4393599222</v>
      </c>
      <c r="H19" s="208">
        <v>125742.6973683028</v>
      </c>
      <c r="I19" s="227">
        <f t="shared" si="2"/>
        <v>246997.36354015436</v>
      </c>
      <c r="J19" s="226"/>
      <c r="K19" s="607">
        <v>246997.36354015436</v>
      </c>
      <c r="L19" s="24"/>
      <c r="M19" s="13"/>
      <c r="O19" s="106"/>
      <c r="P19" s="106"/>
    </row>
    <row r="20" spans="2:16" ht="12.75">
      <c r="B20" s="366">
        <v>2001</v>
      </c>
      <c r="C20" s="480">
        <f>SUM(D20:E20)</f>
        <v>1139358.5138385482</v>
      </c>
      <c r="D20" s="147">
        <f>(G20+J20)</f>
        <v>761192.0579289157</v>
      </c>
      <c r="E20" s="182">
        <f>(H20+K20)</f>
        <v>378166.4559096325</v>
      </c>
      <c r="F20" s="603">
        <f>SUM(G20:H20)</f>
        <v>862632.2836858832</v>
      </c>
      <c r="G20" s="147">
        <v>761192.0579289157</v>
      </c>
      <c r="H20" s="182">
        <v>101440.22575696744</v>
      </c>
      <c r="I20" s="140">
        <f t="shared" si="2"/>
        <v>276726.23015266506</v>
      </c>
      <c r="J20" s="149"/>
      <c r="K20" s="554">
        <v>276726.23015266506</v>
      </c>
      <c r="L20" s="24"/>
      <c r="M20" s="13"/>
      <c r="O20" s="106"/>
      <c r="P20" s="106"/>
    </row>
    <row r="21" spans="2:16" ht="12.75">
      <c r="B21" s="604">
        <v>2002</v>
      </c>
      <c r="C21" s="605">
        <f t="shared" si="3"/>
        <v>1157067.1602677335</v>
      </c>
      <c r="D21" s="226">
        <f aca="true" t="shared" si="4" ref="D21:E29">SUM(G21,J21)</f>
        <v>764543.090328428</v>
      </c>
      <c r="E21" s="208">
        <f t="shared" si="4"/>
        <v>392524.0699393055</v>
      </c>
      <c r="F21" s="606">
        <f t="shared" si="1"/>
        <v>862228.1175744301</v>
      </c>
      <c r="G21" s="226">
        <v>764543.090328428</v>
      </c>
      <c r="H21" s="208">
        <v>97685.02724600217</v>
      </c>
      <c r="I21" s="227">
        <f t="shared" si="2"/>
        <v>294839.0426933033</v>
      </c>
      <c r="J21" s="224"/>
      <c r="K21" s="607">
        <v>294839.0426933033</v>
      </c>
      <c r="L21" s="24"/>
      <c r="O21" s="106"/>
      <c r="P21" s="106"/>
    </row>
    <row r="22" spans="2:16" ht="12.75">
      <c r="B22" s="366">
        <v>2003</v>
      </c>
      <c r="C22" s="480">
        <f>SUM(D22:E22)</f>
        <v>1217210.1436706816</v>
      </c>
      <c r="D22" s="147">
        <f t="shared" si="4"/>
        <v>811107.1463979532</v>
      </c>
      <c r="E22" s="182">
        <f t="shared" si="4"/>
        <v>406102.9972727285</v>
      </c>
      <c r="F22" s="603">
        <f>SUM(G22:H22)</f>
        <v>901096.172415453</v>
      </c>
      <c r="G22" s="147">
        <v>811107.1463979532</v>
      </c>
      <c r="H22" s="182">
        <v>89989.02601749991</v>
      </c>
      <c r="I22" s="140">
        <f>SUM(J22:K22)</f>
        <v>316113.97125522856</v>
      </c>
      <c r="J22" s="149"/>
      <c r="K22" s="554">
        <v>316113.97125522856</v>
      </c>
      <c r="L22" s="24"/>
      <c r="O22" s="106"/>
      <c r="P22" s="106"/>
    </row>
    <row r="23" spans="2:16" ht="12.75">
      <c r="B23" s="604">
        <v>2004</v>
      </c>
      <c r="C23" s="605">
        <f t="shared" si="3"/>
        <v>1382300.0118101076</v>
      </c>
      <c r="D23" s="226">
        <f t="shared" si="4"/>
        <v>897997.7068505394</v>
      </c>
      <c r="E23" s="208">
        <f t="shared" si="4"/>
        <v>484302.3049595683</v>
      </c>
      <c r="F23" s="606">
        <f t="shared" si="1"/>
        <v>986870.1176782872</v>
      </c>
      <c r="G23" s="226">
        <v>897997.7068505394</v>
      </c>
      <c r="H23" s="208">
        <v>88872.41082774772</v>
      </c>
      <c r="I23" s="227">
        <f t="shared" si="2"/>
        <v>395429.8941318206</v>
      </c>
      <c r="J23" s="224"/>
      <c r="K23" s="607">
        <v>395429.8941318206</v>
      </c>
      <c r="L23" s="24"/>
      <c r="O23" s="106"/>
      <c r="P23" s="106"/>
    </row>
    <row r="24" spans="2:16" ht="12.75">
      <c r="B24" s="366">
        <v>2005</v>
      </c>
      <c r="C24" s="480">
        <f t="shared" si="3"/>
        <v>1579209.27109638</v>
      </c>
      <c r="D24" s="147">
        <f t="shared" si="4"/>
        <v>1048137.0214944701</v>
      </c>
      <c r="E24" s="182">
        <f t="shared" si="4"/>
        <v>531072.24960191</v>
      </c>
      <c r="F24" s="603">
        <f t="shared" si="1"/>
        <v>1147775.8928376874</v>
      </c>
      <c r="G24" s="147">
        <v>1048137.0214944701</v>
      </c>
      <c r="H24" s="182">
        <v>99638.87134321743</v>
      </c>
      <c r="I24" s="140">
        <f t="shared" si="2"/>
        <v>431433.3782586926</v>
      </c>
      <c r="J24" s="149"/>
      <c r="K24" s="554">
        <v>431433.3782586926</v>
      </c>
      <c r="L24" s="24"/>
      <c r="O24" s="106"/>
      <c r="P24" s="106"/>
    </row>
    <row r="25" spans="2:16" ht="12.75">
      <c r="B25" s="604">
        <v>2006</v>
      </c>
      <c r="C25" s="605">
        <f t="shared" si="3"/>
        <v>1683168.9043059072</v>
      </c>
      <c r="D25" s="226">
        <f t="shared" si="4"/>
        <v>1120521.0639498956</v>
      </c>
      <c r="E25" s="208">
        <f t="shared" si="4"/>
        <v>562647.8403560116</v>
      </c>
      <c r="F25" s="606">
        <f t="shared" si="1"/>
        <v>1222413.6377595204</v>
      </c>
      <c r="G25" s="226">
        <v>1120521.0639498956</v>
      </c>
      <c r="H25" s="208">
        <v>101892.57380962497</v>
      </c>
      <c r="I25" s="227">
        <f t="shared" si="2"/>
        <v>460755.2665463867</v>
      </c>
      <c r="J25" s="224"/>
      <c r="K25" s="607">
        <v>460755.2665463867</v>
      </c>
      <c r="L25" s="24"/>
      <c r="O25" s="106"/>
      <c r="P25" s="106"/>
    </row>
    <row r="26" spans="2:16" ht="12.75">
      <c r="B26" s="366">
        <v>2007</v>
      </c>
      <c r="C26" s="480">
        <f t="shared" si="3"/>
        <v>1830631.6634342424</v>
      </c>
      <c r="D26" s="147">
        <f t="shared" si="4"/>
        <v>1213689.4778540342</v>
      </c>
      <c r="E26" s="182">
        <f t="shared" si="4"/>
        <v>616942.1855802081</v>
      </c>
      <c r="F26" s="603">
        <f t="shared" si="1"/>
        <v>1305447.8754961956</v>
      </c>
      <c r="G26" s="147">
        <v>1213689.4778540342</v>
      </c>
      <c r="H26" s="182">
        <v>91758.39764216138</v>
      </c>
      <c r="I26" s="140">
        <f t="shared" si="2"/>
        <v>525183.7879380467</v>
      </c>
      <c r="J26" s="149"/>
      <c r="K26" s="554">
        <v>525183.7879380467</v>
      </c>
      <c r="L26" s="24"/>
      <c r="N26" s="95"/>
      <c r="O26" s="106"/>
      <c r="P26" s="106"/>
    </row>
    <row r="27" spans="2:16" ht="12.75">
      <c r="B27" s="604">
        <v>2008</v>
      </c>
      <c r="C27" s="605">
        <f t="shared" si="3"/>
        <v>2216099.9731833665</v>
      </c>
      <c r="D27" s="226">
        <f t="shared" si="4"/>
        <v>1393393.8557439279</v>
      </c>
      <c r="E27" s="208">
        <f t="shared" si="4"/>
        <v>822706.1174394387</v>
      </c>
      <c r="F27" s="606">
        <f t="shared" si="1"/>
        <v>1501002.7378177985</v>
      </c>
      <c r="G27" s="226">
        <v>1393393.8557439279</v>
      </c>
      <c r="H27" s="208">
        <v>107608.88207387061</v>
      </c>
      <c r="I27" s="227">
        <f t="shared" si="2"/>
        <v>715097.2353655681</v>
      </c>
      <c r="J27" s="224"/>
      <c r="K27" s="607">
        <v>715097.2353655681</v>
      </c>
      <c r="L27" s="24"/>
      <c r="N27" s="95"/>
      <c r="O27" s="106"/>
      <c r="P27" s="106"/>
    </row>
    <row r="28" spans="2:16" ht="12.75">
      <c r="B28" s="366">
        <v>2009</v>
      </c>
      <c r="C28" s="480">
        <f t="shared" si="3"/>
        <v>2236058.1538174003</v>
      </c>
      <c r="D28" s="147">
        <f t="shared" si="4"/>
        <v>1556915.7010486</v>
      </c>
      <c r="E28" s="182">
        <f t="shared" si="4"/>
        <v>679142.4527688001</v>
      </c>
      <c r="F28" s="603">
        <f t="shared" si="1"/>
        <v>1675664.7528214</v>
      </c>
      <c r="G28" s="147">
        <v>1556915.7010486</v>
      </c>
      <c r="H28" s="182">
        <v>118749.05177280001</v>
      </c>
      <c r="I28" s="140">
        <f t="shared" si="2"/>
        <v>560393.400996</v>
      </c>
      <c r="J28" s="149"/>
      <c r="K28" s="554">
        <v>560393.400996</v>
      </c>
      <c r="L28" s="24"/>
      <c r="N28" s="95"/>
      <c r="O28" s="106"/>
      <c r="P28" s="106"/>
    </row>
    <row r="29" spans="2:16" ht="12.75">
      <c r="B29" s="314">
        <v>2010</v>
      </c>
      <c r="C29" s="408">
        <f t="shared" si="3"/>
        <v>2448535.028202959</v>
      </c>
      <c r="D29" s="144">
        <f t="shared" si="4"/>
        <v>1718589.3030064055</v>
      </c>
      <c r="E29" s="134">
        <f t="shared" si="4"/>
        <v>729945.7251965533</v>
      </c>
      <c r="F29" s="773">
        <f t="shared" si="1"/>
        <v>1841104.1163105767</v>
      </c>
      <c r="G29" s="144">
        <v>1718589.3030064055</v>
      </c>
      <c r="H29" s="134">
        <v>122514.81330417127</v>
      </c>
      <c r="I29" s="132">
        <f t="shared" si="2"/>
        <v>607430.911892382</v>
      </c>
      <c r="J29" s="146"/>
      <c r="K29" s="556">
        <v>607430.911892382</v>
      </c>
      <c r="L29" s="24"/>
      <c r="N29" s="95"/>
      <c r="O29" s="106"/>
      <c r="P29" s="106"/>
    </row>
    <row r="30" spans="2:16" ht="12.75">
      <c r="B30" s="366">
        <v>2011</v>
      </c>
      <c r="C30" s="480">
        <f>SUM(D30:E30)</f>
        <v>2781043.5503069237</v>
      </c>
      <c r="D30" s="147">
        <f>SUM(G30,J30)</f>
        <v>1945060.1389529477</v>
      </c>
      <c r="E30" s="182">
        <f>SUM(H30,K30)</f>
        <v>835983.4113539759</v>
      </c>
      <c r="F30" s="603">
        <f>SUM(G30:H30)</f>
        <v>2088275.7575461457</v>
      </c>
      <c r="G30" s="147">
        <v>1945060.1389529477</v>
      </c>
      <c r="H30" s="182">
        <v>143215.61859319804</v>
      </c>
      <c r="I30" s="140">
        <f t="shared" si="2"/>
        <v>692767.7927607779</v>
      </c>
      <c r="J30" s="149"/>
      <c r="K30" s="554">
        <v>692767.7927607779</v>
      </c>
      <c r="L30" s="24"/>
      <c r="N30" s="95"/>
      <c r="O30" s="106"/>
      <c r="P30" s="106"/>
    </row>
    <row r="31" spans="2:16" ht="13.5" thickBot="1">
      <c r="B31" s="314"/>
      <c r="C31" s="408"/>
      <c r="D31" s="144"/>
      <c r="E31" s="134"/>
      <c r="F31" s="773"/>
      <c r="G31" s="144"/>
      <c r="H31" s="134"/>
      <c r="I31" s="132"/>
      <c r="J31" s="146"/>
      <c r="K31" s="556"/>
      <c r="L31" s="24"/>
      <c r="O31" s="106"/>
      <c r="P31" s="106"/>
    </row>
    <row r="32" spans="2:11" ht="12.75">
      <c r="B32" s="376" t="s">
        <v>167</v>
      </c>
      <c r="C32" s="1272">
        <f>(C30/C29)-1</f>
        <v>0.13579896479896436</v>
      </c>
      <c r="D32" s="1246">
        <f aca="true" t="shared" si="5" ref="D32:I32">(D30/D29)-1</f>
        <v>0.13177717070062434</v>
      </c>
      <c r="E32" s="1273">
        <f t="shared" si="5"/>
        <v>0.14526790485535024</v>
      </c>
      <c r="F32" s="1274">
        <f t="shared" si="5"/>
        <v>0.13425185411614904</v>
      </c>
      <c r="G32" s="1275">
        <f t="shared" si="5"/>
        <v>0.13177717070062434</v>
      </c>
      <c r="H32" s="1276">
        <f t="shared" si="5"/>
        <v>0.1689657334548782</v>
      </c>
      <c r="I32" s="1277">
        <f t="shared" si="5"/>
        <v>0.14048820894303615</v>
      </c>
      <c r="J32" s="1278"/>
      <c r="K32" s="1279">
        <f>(K30/K29)-1</f>
        <v>0.14048820894303615</v>
      </c>
    </row>
    <row r="33" spans="2:11" ht="12.75">
      <c r="B33" s="377" t="s">
        <v>171</v>
      </c>
      <c r="C33" s="1280">
        <f>((C30/C25)^(1/5))-1</f>
        <v>0.10564579394514584</v>
      </c>
      <c r="D33" s="1239">
        <f aca="true" t="shared" si="6" ref="D33:I33">((D30/D25)^(1/5))-1</f>
        <v>0.11661279945905267</v>
      </c>
      <c r="E33" s="1281">
        <f t="shared" si="6"/>
        <v>0.08241100888498387</v>
      </c>
      <c r="F33" s="1282">
        <f t="shared" si="6"/>
        <v>0.11304809860224152</v>
      </c>
      <c r="G33" s="1283">
        <f t="shared" si="6"/>
        <v>0.11661279945905267</v>
      </c>
      <c r="H33" s="1284">
        <f t="shared" si="6"/>
        <v>0.07045784697909108</v>
      </c>
      <c r="I33" s="1285">
        <f t="shared" si="6"/>
        <v>0.08498435567881057</v>
      </c>
      <c r="J33" s="1286"/>
      <c r="K33" s="1287">
        <f>((K30/K25)^(1/5))-1</f>
        <v>0.08498435567881057</v>
      </c>
    </row>
    <row r="34" spans="2:11" ht="12.75">
      <c r="B34" s="379" t="s">
        <v>169</v>
      </c>
      <c r="C34" s="1288">
        <f>(C30/C19)-1</f>
        <v>1.4985354011015204</v>
      </c>
      <c r="D34" s="1234">
        <f aca="true" t="shared" si="7" ref="D34:I34">(D30/D19)-1</f>
        <v>1.6272900083976367</v>
      </c>
      <c r="E34" s="1289">
        <f t="shared" si="7"/>
        <v>1.2428053730433035</v>
      </c>
      <c r="F34" s="1290">
        <f t="shared" si="7"/>
        <v>1.411203026846077</v>
      </c>
      <c r="G34" s="1291">
        <f t="shared" si="7"/>
        <v>1.6272900083976367</v>
      </c>
      <c r="H34" s="1292">
        <f t="shared" si="7"/>
        <v>0.13895774140836759</v>
      </c>
      <c r="I34" s="1293">
        <f t="shared" si="7"/>
        <v>1.8047578436931557</v>
      </c>
      <c r="J34" s="1294"/>
      <c r="K34" s="1295">
        <f>(K30/K19)-1</f>
        <v>1.8047578436931557</v>
      </c>
    </row>
    <row r="35" spans="2:11" ht="13.5" thickBot="1">
      <c r="B35" s="381" t="s">
        <v>170</v>
      </c>
      <c r="C35" s="1296">
        <f>((C30/C19)^(1/11))-1</f>
        <v>0.08680900431096372</v>
      </c>
      <c r="D35" s="1224">
        <f aca="true" t="shared" si="8" ref="D35:I35">((D30/D19)^(1/11))-1</f>
        <v>0.09178492193604271</v>
      </c>
      <c r="E35" s="1297">
        <f t="shared" si="8"/>
        <v>0.07619295405800974</v>
      </c>
      <c r="F35" s="1298">
        <f t="shared" si="8"/>
        <v>0.08329945702592423</v>
      </c>
      <c r="G35" s="1299">
        <f t="shared" si="8"/>
        <v>0.09178492193604271</v>
      </c>
      <c r="H35" s="1300">
        <f t="shared" si="8"/>
        <v>0.011898740921415518</v>
      </c>
      <c r="I35" s="1301">
        <f t="shared" si="8"/>
        <v>0.09829185035269017</v>
      </c>
      <c r="J35" s="1294"/>
      <c r="K35" s="1302">
        <f>((K30/K19)^(1/11))-1</f>
        <v>0.09829185035269017</v>
      </c>
    </row>
    <row r="36" spans="2:3" ht="12.75">
      <c r="B36" t="s">
        <v>173</v>
      </c>
      <c r="C36" s="1220"/>
    </row>
    <row r="37" ht="12.75">
      <c r="B37" s="34"/>
    </row>
    <row r="39" spans="15:16" ht="12.75">
      <c r="O39" s="106"/>
      <c r="P39" s="106"/>
    </row>
    <row r="40" spans="15:16" ht="12.75">
      <c r="O40" s="106"/>
      <c r="P40" s="106"/>
    </row>
    <row r="41" spans="15:16" ht="12.75">
      <c r="O41" s="106"/>
      <c r="P41" s="106"/>
    </row>
    <row r="42" spans="15:16" ht="12.75">
      <c r="O42" s="106"/>
      <c r="P42" s="106"/>
    </row>
    <row r="43" spans="15:16" ht="12.75">
      <c r="O43" s="106"/>
      <c r="P43" s="106"/>
    </row>
    <row r="44" spans="15:16" ht="12.75">
      <c r="O44" s="106"/>
      <c r="P44" s="106"/>
    </row>
    <row r="45" spans="15:16" ht="12.75">
      <c r="O45" s="106"/>
      <c r="P45" s="106"/>
    </row>
    <row r="46" spans="15:16" ht="12.75">
      <c r="O46" s="106"/>
      <c r="P46" s="106"/>
    </row>
    <row r="47" spans="15:16" ht="12.75">
      <c r="O47" s="106"/>
      <c r="P47" s="106"/>
    </row>
    <row r="48" spans="15:16" ht="12.75">
      <c r="O48" s="106"/>
      <c r="P48" s="106"/>
    </row>
    <row r="49" spans="15:16" ht="12.75">
      <c r="O49" s="106"/>
      <c r="P49" s="106"/>
    </row>
    <row r="50" spans="15:16" ht="12.75">
      <c r="O50" s="106"/>
      <c r="P50" s="106"/>
    </row>
    <row r="51" spans="15:16" ht="12.75">
      <c r="O51" s="106"/>
      <c r="P51" s="106"/>
    </row>
    <row r="52" spans="14:16" ht="12.75">
      <c r="N52" s="95"/>
      <c r="O52" s="106"/>
      <c r="P52" s="106"/>
    </row>
    <row r="53" spans="14:16" ht="12.75">
      <c r="N53" s="95"/>
      <c r="O53" s="106"/>
      <c r="P53" s="106"/>
    </row>
    <row r="54" spans="14:16" ht="12.75">
      <c r="N54" s="95"/>
      <c r="O54" s="106"/>
      <c r="P54" s="106"/>
    </row>
    <row r="55" spans="14:16" ht="12.75">
      <c r="N55" s="95"/>
      <c r="O55" s="106"/>
      <c r="P55" s="106"/>
    </row>
    <row r="56" spans="14:16" ht="12.75">
      <c r="N56" s="95"/>
      <c r="O56" s="106"/>
      <c r="P56" s="106"/>
    </row>
    <row r="57" spans="14:16" ht="12.75">
      <c r="N57" s="95"/>
      <c r="O57" s="106"/>
      <c r="P57" s="106"/>
    </row>
  </sheetData>
  <sheetProtection password="B728" sheet="1"/>
  <mergeCells count="4">
    <mergeCell ref="B11:B12"/>
    <mergeCell ref="C11:E11"/>
    <mergeCell ref="F11:H11"/>
    <mergeCell ref="I11:K11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D126"/>
  <sheetViews>
    <sheetView view="pageBreakPreview" zoomScaleSheetLayoutView="100" zoomScalePageLayoutView="0" workbookViewId="0" topLeftCell="A23">
      <selection activeCell="A32" sqref="A32"/>
    </sheetView>
  </sheetViews>
  <sheetFormatPr defaultColWidth="11.421875" defaultRowHeight="12.75"/>
  <cols>
    <col min="1" max="1" width="27.00390625" style="0" customWidth="1"/>
    <col min="2" max="2" width="15.7109375" style="0" customWidth="1"/>
    <col min="3" max="3" width="14.28125" style="0" customWidth="1"/>
    <col min="4" max="4" width="13.28125" style="0" customWidth="1"/>
    <col min="5" max="5" width="16.57421875" style="0" customWidth="1"/>
    <col min="6" max="7" width="13.28125" style="0" customWidth="1"/>
    <col min="8" max="8" width="15.421875" style="0" customWidth="1"/>
    <col min="9" max="11" width="13.57421875" style="0" customWidth="1"/>
    <col min="14" max="14" width="17.421875" style="0" bestFit="1" customWidth="1"/>
    <col min="15" max="15" width="14.57421875" style="0" bestFit="1" customWidth="1"/>
    <col min="16" max="16" width="15.7109375" style="0" bestFit="1" customWidth="1"/>
    <col min="17" max="17" width="17.421875" style="0" customWidth="1"/>
    <col min="18" max="18" width="6.421875" style="0" customWidth="1"/>
    <col min="19" max="19" width="11.57421875" style="0" bestFit="1" customWidth="1"/>
    <col min="20" max="20" width="10.00390625" style="0" bestFit="1" customWidth="1"/>
    <col min="21" max="21" width="12.00390625" style="0" bestFit="1" customWidth="1"/>
    <col min="22" max="22" width="13.57421875" style="1019" customWidth="1"/>
    <col min="23" max="23" width="15.140625" style="0" customWidth="1"/>
    <col min="24" max="24" width="17.421875" style="0" bestFit="1" customWidth="1"/>
    <col min="25" max="25" width="13.57421875" style="0" bestFit="1" customWidth="1"/>
    <col min="26" max="26" width="17.421875" style="0" bestFit="1" customWidth="1"/>
    <col min="27" max="27" width="17.421875" style="0" customWidth="1"/>
    <col min="28" max="28" width="6.421875" style="0" customWidth="1"/>
    <col min="29" max="29" width="13.57421875" style="0" bestFit="1" customWidth="1"/>
    <col min="30" max="30" width="10.00390625" style="0" bestFit="1" customWidth="1"/>
    <col min="31" max="31" width="12.00390625" style="0" bestFit="1" customWidth="1"/>
    <col min="32" max="32" width="13.57421875" style="0" bestFit="1" customWidth="1"/>
    <col min="33" max="33" width="13.57421875" style="0" customWidth="1"/>
    <col min="34" max="39" width="3.8515625" style="0" customWidth="1"/>
    <col min="40" max="40" width="3.57421875" style="0" bestFit="1" customWidth="1"/>
    <col min="41" max="42" width="11.57421875" style="0" bestFit="1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125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125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1257"/>
      <c r="B5" s="1257"/>
      <c r="C5" s="1630"/>
      <c r="D5" s="1630"/>
      <c r="E5" s="1630"/>
      <c r="F5" s="1630"/>
      <c r="G5" s="1630"/>
      <c r="H5" s="1630"/>
      <c r="I5" s="1631"/>
      <c r="J5" s="1631"/>
      <c r="K5" s="1631"/>
      <c r="L5" s="24"/>
      <c r="M5" s="24"/>
    </row>
    <row r="6" spans="1:23" ht="12.75">
      <c r="A6" s="1257"/>
      <c r="B6" s="1257"/>
      <c r="C6" s="1257"/>
      <c r="D6" s="1258"/>
      <c r="E6" s="1258"/>
      <c r="F6" s="1257"/>
      <c r="G6" s="1258"/>
      <c r="H6" s="1258"/>
      <c r="I6" s="1257"/>
      <c r="J6" s="1258"/>
      <c r="K6" s="1258"/>
      <c r="L6" s="512"/>
      <c r="M6" s="512"/>
      <c r="W6" s="512"/>
    </row>
    <row r="7" spans="1:23" ht="12.75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24"/>
      <c r="M7" s="24"/>
      <c r="W7" s="24"/>
    </row>
    <row r="8" spans="1:23" ht="12.75">
      <c r="A8" s="617"/>
      <c r="B8" s="1259"/>
      <c r="C8" s="1259"/>
      <c r="D8" s="1260"/>
      <c r="E8" s="1260"/>
      <c r="F8" s="1259"/>
      <c r="G8" s="1260"/>
      <c r="H8" s="1260"/>
      <c r="I8" s="1259"/>
      <c r="J8" s="1260"/>
      <c r="K8" s="1260"/>
      <c r="L8" s="515"/>
      <c r="M8" s="515"/>
      <c r="W8" s="515"/>
    </row>
    <row r="9" spans="1:23" ht="12.75">
      <c r="A9" s="617"/>
      <c r="B9" s="1259"/>
      <c r="C9" s="1259"/>
      <c r="D9" s="1260"/>
      <c r="E9" s="1260"/>
      <c r="F9" s="1259"/>
      <c r="G9" s="1260"/>
      <c r="H9" s="1260"/>
      <c r="I9" s="1259"/>
      <c r="J9" s="1260"/>
      <c r="K9" s="1260"/>
      <c r="L9" s="220"/>
      <c r="M9" s="220"/>
      <c r="W9" s="220"/>
    </row>
    <row r="10" spans="1:23" ht="12.75">
      <c r="A10" s="617"/>
      <c r="B10" s="1259"/>
      <c r="C10" s="1259"/>
      <c r="D10" s="1260"/>
      <c r="E10" s="1260"/>
      <c r="F10" s="1259"/>
      <c r="G10" s="1260"/>
      <c r="H10" s="1260"/>
      <c r="I10" s="1259"/>
      <c r="J10" s="1260"/>
      <c r="K10" s="1260"/>
      <c r="L10" s="220"/>
      <c r="M10" s="220"/>
      <c r="W10" s="220"/>
    </row>
    <row r="11" spans="1:23" ht="12.75">
      <c r="A11" s="617"/>
      <c r="B11" s="1259"/>
      <c r="C11" s="1259"/>
      <c r="D11" s="1260"/>
      <c r="E11" s="1260"/>
      <c r="F11" s="1259"/>
      <c r="G11" s="1260"/>
      <c r="H11" s="1260"/>
      <c r="I11" s="1259"/>
      <c r="J11" s="1260"/>
      <c r="K11" s="1260"/>
      <c r="L11" s="220"/>
      <c r="M11" s="220"/>
      <c r="W11" s="220"/>
    </row>
    <row r="12" spans="1:23" ht="12.75">
      <c r="A12" s="617"/>
      <c r="B12" s="1259"/>
      <c r="C12" s="1259"/>
      <c r="D12" s="1260"/>
      <c r="E12" s="1260"/>
      <c r="F12" s="1259"/>
      <c r="G12" s="1260"/>
      <c r="H12" s="1260"/>
      <c r="I12" s="1259"/>
      <c r="J12" s="1260"/>
      <c r="K12" s="1260"/>
      <c r="L12" s="220"/>
      <c r="M12" s="220"/>
      <c r="W12" s="220"/>
    </row>
    <row r="13" spans="1:23" ht="12.75">
      <c r="A13" s="617"/>
      <c r="B13" s="1259"/>
      <c r="C13" s="1259"/>
      <c r="D13" s="1260"/>
      <c r="E13" s="1260"/>
      <c r="F13" s="1259"/>
      <c r="G13" s="1260"/>
      <c r="H13" s="1260"/>
      <c r="I13" s="1259"/>
      <c r="J13" s="1260"/>
      <c r="K13" s="1260"/>
      <c r="L13" s="220"/>
      <c r="M13" s="220"/>
      <c r="W13" s="220"/>
    </row>
    <row r="14" spans="1:23" ht="12.75">
      <c r="A14" s="617"/>
      <c r="B14" s="1261"/>
      <c r="C14" s="1262"/>
      <c r="D14" s="1263"/>
      <c r="E14" s="1263"/>
      <c r="F14" s="1262"/>
      <c r="G14" s="1263"/>
      <c r="H14" s="1263"/>
      <c r="I14" s="1262"/>
      <c r="J14" s="1263"/>
      <c r="K14" s="1263"/>
      <c r="L14" s="220"/>
      <c r="M14" s="220"/>
      <c r="W14" s="220"/>
    </row>
    <row r="15" spans="1:23" ht="12.75">
      <c r="A15" s="617"/>
      <c r="B15" s="1261"/>
      <c r="C15" s="1632"/>
      <c r="D15" s="1632"/>
      <c r="E15" s="1632"/>
      <c r="F15" s="1262"/>
      <c r="G15" s="1263"/>
      <c r="H15" s="1263"/>
      <c r="I15" s="1262"/>
      <c r="J15" s="1263"/>
      <c r="K15" s="1263"/>
      <c r="L15" s="220"/>
      <c r="M15" s="220"/>
      <c r="W15" s="220"/>
    </row>
    <row r="16" spans="1:23" ht="12.75">
      <c r="A16" s="617"/>
      <c r="B16" s="1259"/>
      <c r="C16" s="1259"/>
      <c r="D16" s="1260"/>
      <c r="E16" s="1260"/>
      <c r="F16" s="1259"/>
      <c r="G16" s="1260"/>
      <c r="H16" s="1260"/>
      <c r="I16" s="1259"/>
      <c r="J16" s="1260"/>
      <c r="K16" s="1260"/>
      <c r="L16" s="220"/>
      <c r="M16" s="220"/>
      <c r="W16" s="220"/>
    </row>
    <row r="17" spans="1:23" ht="12.75">
      <c r="A17" s="617"/>
      <c r="B17" s="1259"/>
      <c r="C17" s="1259"/>
      <c r="D17" s="1260"/>
      <c r="E17" s="1260"/>
      <c r="F17" s="1259"/>
      <c r="G17" s="1260"/>
      <c r="H17" s="1260"/>
      <c r="I17" s="1259"/>
      <c r="J17" s="1260"/>
      <c r="K17" s="1260"/>
      <c r="L17" s="220"/>
      <c r="M17" s="220"/>
      <c r="W17" s="220"/>
    </row>
    <row r="18" spans="1:23" ht="12.75">
      <c r="A18" s="617"/>
      <c r="B18" s="1264"/>
      <c r="C18" s="1264"/>
      <c r="D18" s="1265"/>
      <c r="E18" s="1265"/>
      <c r="F18" s="1264"/>
      <c r="G18" s="1265"/>
      <c r="H18" s="1265"/>
      <c r="I18" s="1264"/>
      <c r="J18" s="1265"/>
      <c r="K18" s="1265"/>
      <c r="L18" s="220"/>
      <c r="M18" s="220"/>
      <c r="W18" s="220"/>
    </row>
    <row r="19" spans="1:23" ht="12.75">
      <c r="A19" s="616"/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24"/>
      <c r="M19" s="24"/>
      <c r="W19" s="24"/>
    </row>
    <row r="20" spans="1:23" ht="21" customHeight="1">
      <c r="A20" s="1266"/>
      <c r="B20" s="1267"/>
      <c r="C20" s="1267"/>
      <c r="D20" s="1268"/>
      <c r="E20" s="1268"/>
      <c r="F20" s="618"/>
      <c r="G20" s="618"/>
      <c r="H20" s="1269"/>
      <c r="I20" s="1268"/>
      <c r="J20" s="1268"/>
      <c r="K20" s="618"/>
      <c r="L20" s="24"/>
      <c r="M20" s="24"/>
      <c r="W20" s="24"/>
    </row>
    <row r="21" spans="1:23" ht="21" customHeight="1">
      <c r="A21" s="1266"/>
      <c r="B21" s="1267"/>
      <c r="C21" s="1267"/>
      <c r="D21" s="1268"/>
      <c r="E21" s="1268"/>
      <c r="F21" s="618"/>
      <c r="G21" s="618"/>
      <c r="H21" s="1269"/>
      <c r="I21" s="1268"/>
      <c r="J21" s="1268"/>
      <c r="K21" s="618"/>
      <c r="L21" s="24"/>
      <c r="M21" s="24"/>
      <c r="W21" s="24"/>
    </row>
    <row r="22" spans="1:13" ht="21" customHeight="1">
      <c r="A22" s="1266"/>
      <c r="B22" s="1267"/>
      <c r="C22" s="1267"/>
      <c r="D22" s="1268"/>
      <c r="E22" s="1268"/>
      <c r="F22" s="618"/>
      <c r="G22" s="618"/>
      <c r="H22" s="1269"/>
      <c r="I22" s="1268"/>
      <c r="J22" s="1268"/>
      <c r="K22" s="618"/>
      <c r="L22" s="24"/>
      <c r="M22" s="24"/>
    </row>
    <row r="23" spans="1:13" ht="21" customHeight="1">
      <c r="A23" s="1266"/>
      <c r="B23" s="1267"/>
      <c r="C23" s="1267"/>
      <c r="D23" s="1268"/>
      <c r="E23" s="1268"/>
      <c r="F23" s="24"/>
      <c r="G23" s="24"/>
      <c r="H23" s="24"/>
      <c r="I23" s="1268"/>
      <c r="J23" s="1268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127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127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32" ht="15.75">
      <c r="A32" s="88" t="s">
        <v>137</v>
      </c>
    </row>
    <row r="33" ht="12.75">
      <c r="A33" s="34"/>
    </row>
    <row r="34" ht="13.5" thickBot="1"/>
    <row r="35" spans="1:23" ht="12.75">
      <c r="A35" s="619" t="s">
        <v>47</v>
      </c>
      <c r="B35" s="280" t="s">
        <v>64</v>
      </c>
      <c r="C35" s="1627" t="s">
        <v>113</v>
      </c>
      <c r="D35" s="1592"/>
      <c r="E35" s="1592"/>
      <c r="F35" s="1592"/>
      <c r="G35" s="1592"/>
      <c r="H35" s="1629" t="s">
        <v>118</v>
      </c>
      <c r="I35" s="1594"/>
      <c r="J35" s="1594"/>
      <c r="K35" s="1594"/>
      <c r="L35" s="1595"/>
      <c r="M35" s="1020"/>
      <c r="W35" s="1020"/>
    </row>
    <row r="36" spans="1:23" ht="13.5" thickBot="1">
      <c r="A36" s="160"/>
      <c r="B36" s="287"/>
      <c r="C36" s="620" t="s">
        <v>68</v>
      </c>
      <c r="D36" s="621" t="s">
        <v>114</v>
      </c>
      <c r="E36" s="622" t="s">
        <v>115</v>
      </c>
      <c r="F36" s="210" t="s">
        <v>116</v>
      </c>
      <c r="G36" s="622" t="s">
        <v>117</v>
      </c>
      <c r="H36" s="620" t="s">
        <v>68</v>
      </c>
      <c r="I36" s="210" t="s">
        <v>114</v>
      </c>
      <c r="J36" s="622" t="s">
        <v>115</v>
      </c>
      <c r="K36" s="210" t="s">
        <v>116</v>
      </c>
      <c r="L36" s="623" t="s">
        <v>117</v>
      </c>
      <c r="M36" s="1021"/>
      <c r="W36" s="1021"/>
    </row>
    <row r="37" spans="1:23" ht="12.75">
      <c r="A37" s="212"/>
      <c r="B37" s="353"/>
      <c r="C37" s="165"/>
      <c r="D37" s="425"/>
      <c r="E37" s="251"/>
      <c r="F37" s="169"/>
      <c r="G37" s="251"/>
      <c r="H37" s="165"/>
      <c r="I37" s="169"/>
      <c r="J37" s="251"/>
      <c r="K37" s="169"/>
      <c r="L37" s="170"/>
      <c r="M37" s="252"/>
      <c r="W37" s="252"/>
    </row>
    <row r="38" spans="1:23" ht="12.75">
      <c r="A38" s="624">
        <v>1995</v>
      </c>
      <c r="B38" s="625">
        <v>776779.1913939897</v>
      </c>
      <c r="C38" s="178">
        <v>124184.48634359846</v>
      </c>
      <c r="D38" s="484">
        <v>25907.5538174821</v>
      </c>
      <c r="E38" s="495">
        <v>30717.330841467534</v>
      </c>
      <c r="F38" s="481">
        <v>67167.24534664072</v>
      </c>
      <c r="G38" s="495">
        <v>392.35633800810604</v>
      </c>
      <c r="H38" s="178">
        <v>652594.7050503913</v>
      </c>
      <c r="I38" s="481"/>
      <c r="J38" s="495">
        <v>763.8030644400098</v>
      </c>
      <c r="K38" s="481">
        <v>94553.75013217071</v>
      </c>
      <c r="L38" s="482">
        <v>557277.1518537805</v>
      </c>
      <c r="M38" s="495"/>
      <c r="W38" s="495"/>
    </row>
    <row r="39" spans="1:23" ht="12.75">
      <c r="A39" s="626">
        <v>1996</v>
      </c>
      <c r="B39" s="627">
        <v>822460.2785926422</v>
      </c>
      <c r="C39" s="171">
        <v>118518.1941990869</v>
      </c>
      <c r="D39" s="489">
        <v>15449.530851258085</v>
      </c>
      <c r="E39" s="496">
        <v>30833.104255366034</v>
      </c>
      <c r="F39" s="486">
        <v>71734.35103623614</v>
      </c>
      <c r="G39" s="496">
        <v>501.2080562266352</v>
      </c>
      <c r="H39" s="171">
        <v>703942.0843935553</v>
      </c>
      <c r="I39" s="486"/>
      <c r="J39" s="496">
        <v>993.6855548676081</v>
      </c>
      <c r="K39" s="486">
        <v>105462.8523469872</v>
      </c>
      <c r="L39" s="487">
        <v>597485.5464917005</v>
      </c>
      <c r="M39" s="496"/>
      <c r="W39" s="496"/>
    </row>
    <row r="40" spans="1:23" ht="12.75">
      <c r="A40" s="624">
        <v>1997</v>
      </c>
      <c r="B40" s="625">
        <v>859351.6795904302</v>
      </c>
      <c r="C40" s="178">
        <v>119469.61099105242</v>
      </c>
      <c r="D40" s="484">
        <v>16203.72755347064</v>
      </c>
      <c r="E40" s="495">
        <v>28692.07231223197</v>
      </c>
      <c r="F40" s="481">
        <v>74181.2869905612</v>
      </c>
      <c r="G40" s="495">
        <v>392.524134788619</v>
      </c>
      <c r="H40" s="178">
        <v>739882.0685993778</v>
      </c>
      <c r="I40" s="481"/>
      <c r="J40" s="495">
        <v>1196.3929321827632</v>
      </c>
      <c r="K40" s="481">
        <v>116462.02043283332</v>
      </c>
      <c r="L40" s="482">
        <v>622223.6552343616</v>
      </c>
      <c r="M40" s="495"/>
      <c r="W40" s="495"/>
    </row>
    <row r="41" spans="1:23" ht="12.75">
      <c r="A41" s="626">
        <v>1998</v>
      </c>
      <c r="B41" s="627">
        <v>786060.9996556386</v>
      </c>
      <c r="C41" s="171">
        <v>107173.85069988419</v>
      </c>
      <c r="D41" s="489">
        <v>16061.939270334933</v>
      </c>
      <c r="E41" s="496">
        <v>27911.326174946436</v>
      </c>
      <c r="F41" s="486">
        <v>63200.20799322071</v>
      </c>
      <c r="G41" s="496">
        <v>0.3772613821028897</v>
      </c>
      <c r="H41" s="171">
        <v>678887.1489557544</v>
      </c>
      <c r="I41" s="486"/>
      <c r="J41" s="496">
        <v>567.1019992650529</v>
      </c>
      <c r="K41" s="486">
        <v>106855.98447912202</v>
      </c>
      <c r="L41" s="487">
        <v>571464.0624773672</v>
      </c>
      <c r="M41" s="496"/>
      <c r="W41" s="496"/>
    </row>
    <row r="42" spans="1:23" ht="12.75">
      <c r="A42" s="624">
        <v>1999</v>
      </c>
      <c r="B42" s="625">
        <v>778389.1398539399</v>
      </c>
      <c r="C42" s="178">
        <v>107879.16120478789</v>
      </c>
      <c r="D42" s="484">
        <v>15419.05743904313</v>
      </c>
      <c r="E42" s="495">
        <v>26357.711952965714</v>
      </c>
      <c r="F42" s="481">
        <v>66101.28615516309</v>
      </c>
      <c r="G42" s="495">
        <v>1.10565761594531</v>
      </c>
      <c r="H42" s="178">
        <v>670509.978649152</v>
      </c>
      <c r="I42" s="481"/>
      <c r="J42" s="495">
        <v>304.81641685889394</v>
      </c>
      <c r="K42" s="481">
        <v>113037.4119226978</v>
      </c>
      <c r="L42" s="482">
        <v>557167.7503095953</v>
      </c>
      <c r="M42" s="495"/>
      <c r="W42" s="495"/>
    </row>
    <row r="43" spans="1:23" ht="12.75">
      <c r="A43" s="626">
        <v>2000</v>
      </c>
      <c r="B43" s="627">
        <v>866072.136728225</v>
      </c>
      <c r="C43" s="171">
        <v>125742.6973683028</v>
      </c>
      <c r="D43" s="489">
        <v>17480.373733486416</v>
      </c>
      <c r="E43" s="496">
        <v>31943.38682911342</v>
      </c>
      <c r="F43" s="486">
        <v>76318.5874851585</v>
      </c>
      <c r="G43" s="496">
        <v>0.34932054447149935</v>
      </c>
      <c r="H43" s="171">
        <v>740329.4393599222</v>
      </c>
      <c r="I43" s="486"/>
      <c r="J43" s="496">
        <v>356.3585145885872</v>
      </c>
      <c r="K43" s="486">
        <v>133233.19992662172</v>
      </c>
      <c r="L43" s="487">
        <v>606739.8809187119</v>
      </c>
      <c r="M43" s="496"/>
      <c r="W43" s="496"/>
    </row>
    <row r="44" spans="1:32" ht="12.75">
      <c r="A44" s="624">
        <v>2001</v>
      </c>
      <c r="B44" s="625">
        <v>862632.2836858832</v>
      </c>
      <c r="C44" s="178">
        <v>101440.22575696744</v>
      </c>
      <c r="D44" s="628">
        <v>2970.6099071370977</v>
      </c>
      <c r="E44" s="629">
        <v>24206.749945621727</v>
      </c>
      <c r="F44" s="630">
        <v>74262.86590420862</v>
      </c>
      <c r="G44" s="629"/>
      <c r="H44" s="178">
        <v>761192.0579289157</v>
      </c>
      <c r="I44" s="630"/>
      <c r="J44" s="629">
        <v>370.9949799622461</v>
      </c>
      <c r="K44" s="630">
        <v>142500.84567090322</v>
      </c>
      <c r="L44" s="631">
        <v>618320.2172780503</v>
      </c>
      <c r="M44" s="629"/>
      <c r="O44" s="26"/>
      <c r="P44" s="26"/>
      <c r="Q44" s="26"/>
      <c r="R44" s="26"/>
      <c r="S44" s="26"/>
      <c r="T44" s="26"/>
      <c r="U44" s="26"/>
      <c r="V44" s="1022"/>
      <c r="W44" s="629"/>
      <c r="Y44" s="26"/>
      <c r="Z44" s="26"/>
      <c r="AA44" s="26"/>
      <c r="AB44" s="26"/>
      <c r="AC44" s="26"/>
      <c r="AD44" s="26"/>
      <c r="AE44" s="26"/>
      <c r="AF44" s="26"/>
    </row>
    <row r="45" spans="1:50" ht="12.75">
      <c r="A45" s="626">
        <v>2002</v>
      </c>
      <c r="B45" s="627">
        <v>862228.1175744301</v>
      </c>
      <c r="C45" s="171">
        <v>97685.02724600217</v>
      </c>
      <c r="D45" s="632">
        <v>2899.562229959418</v>
      </c>
      <c r="E45" s="633">
        <v>20776.196119793658</v>
      </c>
      <c r="F45" s="634">
        <v>74009.2688962491</v>
      </c>
      <c r="G45" s="633"/>
      <c r="H45" s="171">
        <v>764543.090328428</v>
      </c>
      <c r="I45" s="634"/>
      <c r="J45" s="633">
        <v>340.7613804359413</v>
      </c>
      <c r="K45" s="634">
        <v>151870.41586342058</v>
      </c>
      <c r="L45" s="635">
        <v>612331.9130845715</v>
      </c>
      <c r="M45" s="1023"/>
      <c r="N45" s="1024"/>
      <c r="O45" s="1024"/>
      <c r="P45" s="1024"/>
      <c r="Q45" s="1024"/>
      <c r="R45" s="802"/>
      <c r="S45" s="1024"/>
      <c r="T45" s="1024"/>
      <c r="U45" s="1024"/>
      <c r="V45" s="1025"/>
      <c r="W45" s="1023"/>
      <c r="X45" s="1024"/>
      <c r="Y45" s="1024"/>
      <c r="Z45" s="1024"/>
      <c r="AA45" s="1024"/>
      <c r="AB45" s="802"/>
      <c r="AC45" s="1024"/>
      <c r="AD45" s="1024"/>
      <c r="AE45" s="1024"/>
      <c r="AF45" s="1024"/>
      <c r="AG45" s="26"/>
      <c r="AP45" s="636"/>
      <c r="AR45" s="26"/>
      <c r="AS45" s="26"/>
      <c r="AT45" s="26"/>
      <c r="AV45" s="26"/>
      <c r="AW45" s="26"/>
      <c r="AX45" s="26"/>
    </row>
    <row r="46" spans="1:50" ht="12.75">
      <c r="A46" s="624">
        <v>2003</v>
      </c>
      <c r="B46" s="625">
        <v>901096.172415453</v>
      </c>
      <c r="C46" s="178">
        <v>89989.02601749991</v>
      </c>
      <c r="D46" s="628">
        <v>3287.7235874724447</v>
      </c>
      <c r="E46" s="629">
        <v>17961.788411639674</v>
      </c>
      <c r="F46" s="630">
        <v>68739.5140183878</v>
      </c>
      <c r="G46" s="629"/>
      <c r="H46" s="178">
        <v>811107.1463979532</v>
      </c>
      <c r="I46" s="630"/>
      <c r="J46" s="629">
        <v>311.67072032725486</v>
      </c>
      <c r="K46" s="630">
        <v>163826.11960203198</v>
      </c>
      <c r="L46" s="631">
        <v>646969.356075594</v>
      </c>
      <c r="M46" s="1023"/>
      <c r="N46" s="1024"/>
      <c r="O46" s="1024"/>
      <c r="P46" s="1024"/>
      <c r="Q46" s="1024"/>
      <c r="R46" s="802"/>
      <c r="S46" s="1024"/>
      <c r="T46" s="1024"/>
      <c r="U46" s="1024"/>
      <c r="V46" s="1025"/>
      <c r="W46" s="1023"/>
      <c r="X46" s="1024"/>
      <c r="Y46" s="1024"/>
      <c r="Z46" s="1024"/>
      <c r="AA46" s="1024"/>
      <c r="AB46" s="802"/>
      <c r="AC46" s="1024"/>
      <c r="AD46" s="1024"/>
      <c r="AE46" s="1024"/>
      <c r="AF46" s="1024"/>
      <c r="AG46" s="26"/>
      <c r="AP46" s="1026"/>
      <c r="AQ46" s="1027"/>
      <c r="AR46" s="803"/>
      <c r="AS46" s="803"/>
      <c r="AT46" s="803"/>
      <c r="AU46" s="1027"/>
      <c r="AV46" s="1024"/>
      <c r="AW46" s="1024"/>
      <c r="AX46" s="1024"/>
    </row>
    <row r="47" spans="1:50" ht="12.75">
      <c r="A47" s="626">
        <v>2004</v>
      </c>
      <c r="B47" s="627">
        <v>986870.1176782872</v>
      </c>
      <c r="C47" s="171">
        <v>88872.41082774772</v>
      </c>
      <c r="D47" s="632">
        <v>3683.509522337209</v>
      </c>
      <c r="E47" s="633">
        <v>13977.94619731695</v>
      </c>
      <c r="F47" s="634">
        <v>71210.95510809356</v>
      </c>
      <c r="G47" s="633"/>
      <c r="H47" s="171">
        <v>897997.7068505394</v>
      </c>
      <c r="I47" s="634"/>
      <c r="J47" s="633">
        <v>1242.8690940243323</v>
      </c>
      <c r="K47" s="634">
        <v>183802.05887898686</v>
      </c>
      <c r="L47" s="635">
        <v>712952.7788775283</v>
      </c>
      <c r="M47" s="1023"/>
      <c r="N47" s="1024"/>
      <c r="O47" s="1024"/>
      <c r="P47" s="1024"/>
      <c r="Q47" s="1024"/>
      <c r="R47" s="802"/>
      <c r="S47" s="1024"/>
      <c r="T47" s="1024"/>
      <c r="U47" s="1024"/>
      <c r="V47" s="1025"/>
      <c r="W47" s="1023"/>
      <c r="X47" s="1024"/>
      <c r="Y47" s="1024"/>
      <c r="Z47" s="1024"/>
      <c r="AA47" s="1024"/>
      <c r="AB47" s="802"/>
      <c r="AC47" s="1024"/>
      <c r="AD47" s="1024"/>
      <c r="AE47" s="1024"/>
      <c r="AF47" s="1024"/>
      <c r="AG47" s="26"/>
      <c r="AP47" s="1026"/>
      <c r="AQ47" s="1027"/>
      <c r="AR47" s="803"/>
      <c r="AS47" s="803"/>
      <c r="AT47" s="803"/>
      <c r="AU47" s="1027"/>
      <c r="AV47" s="1024"/>
      <c r="AW47" s="1024"/>
      <c r="AX47" s="1024"/>
    </row>
    <row r="48" spans="1:50" ht="12.75">
      <c r="A48" s="624">
        <v>2005</v>
      </c>
      <c r="B48" s="625">
        <v>1147775.8928376874</v>
      </c>
      <c r="C48" s="178">
        <v>99638.87134321743</v>
      </c>
      <c r="D48" s="628">
        <v>4636.394827877964</v>
      </c>
      <c r="E48" s="629">
        <v>15658.488919374646</v>
      </c>
      <c r="F48" s="630">
        <v>79343.98759596482</v>
      </c>
      <c r="G48" s="629"/>
      <c r="H48" s="178">
        <v>1048137.0214944701</v>
      </c>
      <c r="I48" s="630"/>
      <c r="J48" s="629">
        <v>2905.864083688586</v>
      </c>
      <c r="K48" s="630">
        <v>226268.1076778982</v>
      </c>
      <c r="L48" s="631">
        <v>818963.0497328832</v>
      </c>
      <c r="M48" s="1023"/>
      <c r="N48" s="1024"/>
      <c r="O48" s="1024"/>
      <c r="P48" s="1024"/>
      <c r="Q48" s="1024"/>
      <c r="R48" s="802"/>
      <c r="S48" s="1024"/>
      <c r="T48" s="1024"/>
      <c r="U48" s="1024"/>
      <c r="V48" s="1025"/>
      <c r="W48" s="1023"/>
      <c r="X48" s="1024"/>
      <c r="Y48" s="1024"/>
      <c r="Z48" s="1024"/>
      <c r="AA48" s="1024"/>
      <c r="AB48" s="802"/>
      <c r="AC48" s="1024"/>
      <c r="AD48" s="1024"/>
      <c r="AE48" s="1024"/>
      <c r="AF48" s="1024"/>
      <c r="AG48" s="26"/>
      <c r="AP48" s="1026"/>
      <c r="AQ48" s="1027"/>
      <c r="AR48" s="803"/>
      <c r="AS48" s="803"/>
      <c r="AT48" s="803"/>
      <c r="AU48" s="1027"/>
      <c r="AV48" s="1024"/>
      <c r="AW48" s="1024"/>
      <c r="AX48" s="1024"/>
    </row>
    <row r="49" spans="1:50" ht="12.75">
      <c r="A49" s="626">
        <v>2006</v>
      </c>
      <c r="B49" s="627">
        <v>1222413.6377595204</v>
      </c>
      <c r="C49" s="171">
        <v>101892.57380962497</v>
      </c>
      <c r="D49" s="632">
        <v>5338.8389999683695</v>
      </c>
      <c r="E49" s="633">
        <v>15238.968382169845</v>
      </c>
      <c r="F49" s="634">
        <v>81314.76642748676</v>
      </c>
      <c r="G49" s="633"/>
      <c r="H49" s="171">
        <v>1120521.0639498956</v>
      </c>
      <c r="I49" s="634"/>
      <c r="J49" s="633">
        <v>3140.3209144372004</v>
      </c>
      <c r="K49" s="634">
        <v>243797.5352828731</v>
      </c>
      <c r="L49" s="635">
        <v>873583.2077525852</v>
      </c>
      <c r="M49" s="1023"/>
      <c r="N49" s="1024"/>
      <c r="O49" s="1024"/>
      <c r="P49" s="1024"/>
      <c r="Q49" s="1024"/>
      <c r="R49" s="802"/>
      <c r="S49" s="1024"/>
      <c r="T49" s="1024"/>
      <c r="U49" s="1024"/>
      <c r="V49" s="1025"/>
      <c r="W49" s="1023"/>
      <c r="X49" s="1024"/>
      <c r="Y49" s="1024"/>
      <c r="Z49" s="1024"/>
      <c r="AA49" s="1024"/>
      <c r="AB49" s="802"/>
      <c r="AC49" s="1024"/>
      <c r="AD49" s="1024"/>
      <c r="AE49" s="1024"/>
      <c r="AF49" s="1024"/>
      <c r="AG49" s="26"/>
      <c r="AP49" s="1026"/>
      <c r="AQ49" s="1027"/>
      <c r="AR49" s="803"/>
      <c r="AS49" s="803"/>
      <c r="AT49" s="803"/>
      <c r="AU49" s="1027"/>
      <c r="AV49" s="1024"/>
      <c r="AW49" s="1024"/>
      <c r="AX49" s="1024"/>
    </row>
    <row r="50" spans="1:50" ht="12.75">
      <c r="A50" s="624">
        <v>2007</v>
      </c>
      <c r="B50" s="625">
        <v>1305447.8754961956</v>
      </c>
      <c r="C50" s="178">
        <v>91758.39764216138</v>
      </c>
      <c r="D50" s="628">
        <v>5813.542255726387</v>
      </c>
      <c r="E50" s="629">
        <v>7543.713939336319</v>
      </c>
      <c r="F50" s="630">
        <v>78401.14144709868</v>
      </c>
      <c r="G50" s="629"/>
      <c r="H50" s="178">
        <v>1213689.4778540342</v>
      </c>
      <c r="I50" s="630"/>
      <c r="J50" s="629">
        <v>4057.908691654302</v>
      </c>
      <c r="K50" s="630">
        <v>271794.00017439784</v>
      </c>
      <c r="L50" s="631">
        <v>937837.568987982</v>
      </c>
      <c r="M50" s="1023"/>
      <c r="N50" s="1024"/>
      <c r="O50" s="1024"/>
      <c r="P50" s="1024"/>
      <c r="Q50" s="1024"/>
      <c r="R50" s="802"/>
      <c r="S50" s="1024"/>
      <c r="T50" s="1024"/>
      <c r="U50" s="1024"/>
      <c r="V50" s="1025"/>
      <c r="W50" s="1023"/>
      <c r="X50" s="1024"/>
      <c r="Y50" s="1024"/>
      <c r="Z50" s="1024"/>
      <c r="AA50" s="1024"/>
      <c r="AB50" s="802"/>
      <c r="AC50" s="1024"/>
      <c r="AD50" s="1024"/>
      <c r="AE50" s="1024"/>
      <c r="AF50" s="1024"/>
      <c r="AG50" s="26"/>
      <c r="AP50" s="95"/>
      <c r="AR50" s="637"/>
      <c r="AS50" s="637"/>
      <c r="AT50" s="637"/>
      <c r="AV50" s="637"/>
      <c r="AW50" s="637"/>
      <c r="AX50" s="637"/>
    </row>
    <row r="51" spans="1:50" ht="12.75">
      <c r="A51" s="626">
        <v>2008</v>
      </c>
      <c r="B51" s="627">
        <v>1501002.7378177985</v>
      </c>
      <c r="C51" s="171">
        <v>107608.88207387061</v>
      </c>
      <c r="D51" s="632">
        <v>5762.870992416518</v>
      </c>
      <c r="E51" s="633">
        <v>8648.307469621745</v>
      </c>
      <c r="F51" s="634">
        <v>93197.70361183234</v>
      </c>
      <c r="G51" s="633"/>
      <c r="H51" s="171">
        <v>1393393.8557439279</v>
      </c>
      <c r="I51" s="634"/>
      <c r="J51" s="633">
        <v>4026.467385366491</v>
      </c>
      <c r="K51" s="634">
        <v>318585.1207090378</v>
      </c>
      <c r="L51" s="635">
        <v>1070782.2676495234</v>
      </c>
      <c r="M51" s="1023"/>
      <c r="N51" s="1024"/>
      <c r="O51" s="1024"/>
      <c r="P51" s="1024"/>
      <c r="Q51" s="1024"/>
      <c r="R51" s="802"/>
      <c r="S51" s="1024"/>
      <c r="T51" s="1024"/>
      <c r="U51" s="1024"/>
      <c r="V51" s="1025"/>
      <c r="W51" s="1023"/>
      <c r="X51" s="1024"/>
      <c r="Y51" s="1024"/>
      <c r="Z51" s="1024"/>
      <c r="AA51" s="1024"/>
      <c r="AB51" s="802"/>
      <c r="AC51" s="1024"/>
      <c r="AD51" s="1024"/>
      <c r="AE51" s="1024"/>
      <c r="AF51" s="1024"/>
      <c r="AG51" s="26"/>
      <c r="AP51" s="95"/>
      <c r="AR51" s="637"/>
      <c r="AS51" s="637"/>
      <c r="AT51" s="637"/>
      <c r="AV51" s="637"/>
      <c r="AW51" s="637"/>
      <c r="AX51" s="637"/>
    </row>
    <row r="52" spans="1:50" ht="12.75">
      <c r="A52" s="624">
        <v>2009</v>
      </c>
      <c r="B52" s="625">
        <v>1675664.7528214</v>
      </c>
      <c r="C52" s="178">
        <v>118749.05177280001</v>
      </c>
      <c r="D52" s="628">
        <v>6087.1697834999995</v>
      </c>
      <c r="E52" s="629">
        <v>13150.987824299998</v>
      </c>
      <c r="F52" s="630">
        <v>99510.894165</v>
      </c>
      <c r="G52" s="629"/>
      <c r="H52" s="178">
        <v>1556915.7010486</v>
      </c>
      <c r="I52" s="630"/>
      <c r="J52" s="629">
        <v>3630.1733886</v>
      </c>
      <c r="K52" s="630">
        <v>371047.12976000004</v>
      </c>
      <c r="L52" s="631">
        <v>1182238.3979</v>
      </c>
      <c r="M52" s="1023"/>
      <c r="N52" s="1024"/>
      <c r="O52" s="1024"/>
      <c r="P52" s="1024"/>
      <c r="Q52" s="1024"/>
      <c r="R52" s="802"/>
      <c r="S52" s="1024"/>
      <c r="T52" s="1024"/>
      <c r="U52" s="1024"/>
      <c r="V52" s="1025"/>
      <c r="W52" s="1023"/>
      <c r="X52" s="1024"/>
      <c r="Y52" s="1024"/>
      <c r="Z52" s="1024"/>
      <c r="AA52" s="1024"/>
      <c r="AB52" s="802"/>
      <c r="AC52" s="1024"/>
      <c r="AD52" s="1024"/>
      <c r="AE52" s="1024"/>
      <c r="AF52" s="1024"/>
      <c r="AG52" s="26"/>
      <c r="AP52" s="95"/>
      <c r="AR52" s="637"/>
      <c r="AS52" s="637"/>
      <c r="AT52" s="637"/>
      <c r="AV52" s="637"/>
      <c r="AW52" s="637"/>
      <c r="AX52" s="637"/>
    </row>
    <row r="53" spans="1:50" ht="12.75">
      <c r="A53" s="638">
        <v>2010</v>
      </c>
      <c r="B53" s="639">
        <v>1841104.1163105767</v>
      </c>
      <c r="C53" s="640">
        <v>122514.81330417127</v>
      </c>
      <c r="D53" s="641">
        <v>695.1817519449353</v>
      </c>
      <c r="E53" s="642">
        <v>14232.305048435535</v>
      </c>
      <c r="F53" s="643">
        <v>107587.3265037908</v>
      </c>
      <c r="G53" s="642"/>
      <c r="H53" s="640">
        <v>1718589.3030064055</v>
      </c>
      <c r="I53" s="643"/>
      <c r="J53" s="642">
        <v>4064.483110250181</v>
      </c>
      <c r="K53" s="643">
        <v>424841.7856387195</v>
      </c>
      <c r="L53" s="644">
        <v>1289683.0342574357</v>
      </c>
      <c r="M53" s="1023"/>
      <c r="N53" s="1024"/>
      <c r="O53" s="1024"/>
      <c r="P53" s="1024"/>
      <c r="Q53" s="1024"/>
      <c r="R53" s="802"/>
      <c r="S53" s="1024"/>
      <c r="T53" s="1024"/>
      <c r="U53" s="1024"/>
      <c r="V53" s="1025"/>
      <c r="W53" s="1023"/>
      <c r="X53" s="1024"/>
      <c r="Y53" s="1024"/>
      <c r="Z53" s="1024"/>
      <c r="AA53" s="1024"/>
      <c r="AB53" s="802"/>
      <c r="AC53" s="1024"/>
      <c r="AD53" s="1024"/>
      <c r="AE53" s="1024"/>
      <c r="AF53" s="1024"/>
      <c r="AG53" s="26"/>
      <c r="AP53" s="95"/>
      <c r="AR53" s="637"/>
      <c r="AS53" s="637"/>
      <c r="AT53" s="637"/>
      <c r="AV53" s="637"/>
      <c r="AW53" s="637"/>
      <c r="AX53" s="637"/>
    </row>
    <row r="54" spans="1:50" ht="12.75">
      <c r="A54" s="624">
        <v>2011</v>
      </c>
      <c r="B54" s="625">
        <v>2088275.7575461457</v>
      </c>
      <c r="C54" s="178">
        <v>143215.61859319804</v>
      </c>
      <c r="D54" s="628">
        <v>1587.0602767677233</v>
      </c>
      <c r="E54" s="629">
        <v>19502.28972017252</v>
      </c>
      <c r="F54" s="630">
        <v>122126.26859625781</v>
      </c>
      <c r="G54" s="629"/>
      <c r="H54" s="178">
        <v>1945060.1389529477</v>
      </c>
      <c r="I54" s="630"/>
      <c r="J54" s="629">
        <v>4475.086374194412</v>
      </c>
      <c r="K54" s="630">
        <v>504444.17116281315</v>
      </c>
      <c r="L54" s="631">
        <v>1436140.8814159401</v>
      </c>
      <c r="M54" s="629"/>
      <c r="N54" s="1028"/>
      <c r="O54" s="26"/>
      <c r="P54" s="26"/>
      <c r="Q54" s="26"/>
      <c r="R54" s="26"/>
      <c r="S54" s="26"/>
      <c r="T54" s="26"/>
      <c r="U54" s="26"/>
      <c r="V54" s="1022"/>
      <c r="W54" s="629"/>
      <c r="X54" s="1028"/>
      <c r="Y54" s="1029"/>
      <c r="Z54" s="1029"/>
      <c r="AA54" s="1029"/>
      <c r="AB54" s="26"/>
      <c r="AC54" s="1029"/>
      <c r="AD54" s="1029"/>
      <c r="AE54" s="1029"/>
      <c r="AF54" s="1029"/>
      <c r="AG54" s="26"/>
      <c r="AP54" s="95"/>
      <c r="AR54" s="637"/>
      <c r="AS54" s="637"/>
      <c r="AT54" s="637"/>
      <c r="AV54" s="637"/>
      <c r="AW54" s="637"/>
      <c r="AX54" s="637"/>
    </row>
    <row r="55" spans="1:50" ht="13.5" thickBot="1">
      <c r="A55" s="1030"/>
      <c r="B55" s="1031"/>
      <c r="C55" s="1032"/>
      <c r="D55" s="1033"/>
      <c r="E55" s="1034"/>
      <c r="F55" s="1035"/>
      <c r="G55" s="1034"/>
      <c r="H55" s="1032"/>
      <c r="I55" s="1035"/>
      <c r="J55" s="1034"/>
      <c r="K55" s="1035"/>
      <c r="L55" s="1036"/>
      <c r="M55" s="1037"/>
      <c r="N55" s="1024"/>
      <c r="O55" s="1038"/>
      <c r="P55" s="1038"/>
      <c r="Q55" s="1038"/>
      <c r="R55" s="26"/>
      <c r="S55" s="1024"/>
      <c r="T55" s="1038"/>
      <c r="U55" s="1038"/>
      <c r="V55" s="1039"/>
      <c r="W55" s="1037"/>
      <c r="X55" s="1024"/>
      <c r="Y55" s="1038"/>
      <c r="Z55" s="1038"/>
      <c r="AA55" s="1038"/>
      <c r="AB55" s="26"/>
      <c r="AC55" s="1024"/>
      <c r="AD55" s="1038"/>
      <c r="AE55" s="1038"/>
      <c r="AF55" s="1038"/>
      <c r="AG55" s="1040"/>
      <c r="AP55" s="95"/>
      <c r="AQ55" s="1041"/>
      <c r="AR55" s="1042"/>
      <c r="AS55" s="1042"/>
      <c r="AT55" s="1042"/>
      <c r="AU55" s="1041"/>
      <c r="AV55" s="1042"/>
      <c r="AW55" s="1042"/>
      <c r="AX55" s="1042"/>
    </row>
    <row r="56" spans="1:32" ht="21" customHeight="1">
      <c r="A56" s="447" t="s">
        <v>167</v>
      </c>
      <c r="B56" s="646">
        <v>0.13425185411614904</v>
      </c>
      <c r="C56" s="647">
        <v>0.1689657334548782</v>
      </c>
      <c r="D56" s="648">
        <v>1.2829429459670756</v>
      </c>
      <c r="E56" s="649">
        <v>0.3702832853710005</v>
      </c>
      <c r="F56" s="650">
        <v>0.135136196473427</v>
      </c>
      <c r="G56" s="651"/>
      <c r="H56" s="646">
        <v>0.13177717070062434</v>
      </c>
      <c r="I56" s="574"/>
      <c r="J56" s="649">
        <v>0.10102225862588399</v>
      </c>
      <c r="K56" s="650">
        <v>0.18736948251080587</v>
      </c>
      <c r="L56" s="652">
        <v>0.11356111793998358</v>
      </c>
      <c r="M56" s="450"/>
      <c r="N56" s="1043"/>
      <c r="O56" s="1044"/>
      <c r="P56" s="1044"/>
      <c r="Q56" s="1044"/>
      <c r="S56" s="1043"/>
      <c r="T56" s="1044"/>
      <c r="U56" s="1044"/>
      <c r="V56" s="1045"/>
      <c r="W56" s="1046"/>
      <c r="X56" s="1046"/>
      <c r="Y56" s="1044"/>
      <c r="Z56" s="1044"/>
      <c r="AA56" s="1044"/>
      <c r="AC56" s="1046"/>
      <c r="AD56" s="1044"/>
      <c r="AE56" s="1044"/>
      <c r="AF56" s="1044"/>
    </row>
    <row r="57" spans="1:50" ht="21" customHeight="1">
      <c r="A57" s="449" t="s">
        <v>171</v>
      </c>
      <c r="B57" s="653">
        <v>0.11304809860224152</v>
      </c>
      <c r="C57" s="654">
        <v>0.07045784697909108</v>
      </c>
      <c r="D57" s="655">
        <v>-0.2154342964954623</v>
      </c>
      <c r="E57" s="501">
        <v>0.050572448591925445</v>
      </c>
      <c r="F57" s="656">
        <v>0.08474569150708944</v>
      </c>
      <c r="G57" s="657"/>
      <c r="H57" s="653">
        <v>0.11661279945905267</v>
      </c>
      <c r="I57" s="658"/>
      <c r="J57" s="501">
        <v>0.07340960750660375</v>
      </c>
      <c r="K57" s="656">
        <v>0.1565296185974705</v>
      </c>
      <c r="L57" s="659">
        <v>0.10453263830933057</v>
      </c>
      <c r="M57" s="1047"/>
      <c r="N57" s="942"/>
      <c r="S57" s="942"/>
      <c r="W57" s="1047"/>
      <c r="AT57" s="548"/>
      <c r="AX57" s="548"/>
    </row>
    <row r="58" spans="1:24" ht="21" customHeight="1">
      <c r="A58" s="451" t="s">
        <v>169</v>
      </c>
      <c r="B58" s="660">
        <v>1.411203026846077</v>
      </c>
      <c r="C58" s="609">
        <v>0.13895774140836759</v>
      </c>
      <c r="D58" s="586">
        <v>-0.9092090191568697</v>
      </c>
      <c r="E58" s="611">
        <v>-0.3894733259030003</v>
      </c>
      <c r="F58" s="612">
        <v>0.6002165739769152</v>
      </c>
      <c r="G58" s="657"/>
      <c r="H58" s="660">
        <v>1.6272900083976367</v>
      </c>
      <c r="I58" s="658"/>
      <c r="J58" s="611">
        <v>11.557820820868727</v>
      </c>
      <c r="K58" s="612">
        <v>2.786174703006729</v>
      </c>
      <c r="L58" s="610">
        <v>1.3669795353510765</v>
      </c>
      <c r="M58" s="1037"/>
      <c r="N58" s="105"/>
      <c r="W58" s="1037"/>
      <c r="X58" s="105"/>
    </row>
    <row r="59" spans="1:24" ht="21" customHeight="1" thickBot="1">
      <c r="A59" s="452" t="s">
        <v>170</v>
      </c>
      <c r="B59" s="661">
        <v>0.08329945702592423</v>
      </c>
      <c r="C59" s="613">
        <v>0.011898740921415518</v>
      </c>
      <c r="D59" s="587">
        <v>-0.1959619348441729</v>
      </c>
      <c r="E59" s="662">
        <v>-0.04386634784927146</v>
      </c>
      <c r="F59" s="615">
        <v>0.04366640939180133</v>
      </c>
      <c r="G59" s="657"/>
      <c r="H59" s="661">
        <v>0.09178492193604271</v>
      </c>
      <c r="I59" s="658"/>
      <c r="J59" s="662">
        <v>0.25863932971869996</v>
      </c>
      <c r="K59" s="615">
        <v>0.12866145949628982</v>
      </c>
      <c r="L59" s="614">
        <v>0.08147798227598768</v>
      </c>
      <c r="M59" s="1037"/>
      <c r="N59" s="105"/>
      <c r="W59" s="1037"/>
      <c r="X59" s="105"/>
    </row>
    <row r="60" spans="1:24" ht="12.75">
      <c r="A60" t="s">
        <v>173</v>
      </c>
      <c r="B60" s="663"/>
      <c r="C60" s="663"/>
      <c r="D60" s="663"/>
      <c r="E60" s="663"/>
      <c r="F60" s="663"/>
      <c r="G60" s="15"/>
      <c r="H60" s="663"/>
      <c r="I60" s="15"/>
      <c r="J60" s="663"/>
      <c r="K60" s="663"/>
      <c r="L60" s="663"/>
      <c r="M60" s="1037"/>
      <c r="N60" s="105"/>
      <c r="W60" s="1037"/>
      <c r="X60" s="105"/>
    </row>
    <row r="61" spans="1:24" ht="12.75">
      <c r="A61" s="34"/>
      <c r="M61" s="1037"/>
      <c r="N61" s="105"/>
      <c r="W61" s="1037"/>
      <c r="X61" s="105"/>
    </row>
    <row r="62" spans="13:24" ht="12.75">
      <c r="M62" s="1037"/>
      <c r="N62" s="105"/>
      <c r="W62" s="1037"/>
      <c r="X62" s="105"/>
    </row>
    <row r="63" spans="1:24" ht="15.75">
      <c r="A63" s="88" t="s">
        <v>138</v>
      </c>
      <c r="M63" s="1037"/>
      <c r="N63" s="105"/>
      <c r="W63" s="1037"/>
      <c r="X63" s="105"/>
    </row>
    <row r="64" spans="1:24" ht="12.75">
      <c r="A64" s="34"/>
      <c r="M64" s="1037"/>
      <c r="N64" s="105"/>
      <c r="W64" s="1037"/>
      <c r="X64" s="105"/>
    </row>
    <row r="65" spans="13:24" ht="13.5" thickBot="1">
      <c r="M65" s="1037"/>
      <c r="N65" s="105"/>
      <c r="W65" s="1037"/>
      <c r="X65" s="105"/>
    </row>
    <row r="66" spans="1:24" ht="12.75">
      <c r="A66" s="619" t="s">
        <v>47</v>
      </c>
      <c r="B66" s="229" t="s">
        <v>64</v>
      </c>
      <c r="C66" s="1627" t="s">
        <v>113</v>
      </c>
      <c r="D66" s="1592"/>
      <c r="E66" s="1592"/>
      <c r="F66" s="1628"/>
      <c r="M66" s="1037"/>
      <c r="N66" s="105"/>
      <c r="W66" s="1037"/>
      <c r="X66" s="105"/>
    </row>
    <row r="67" spans="1:7" ht="13.5" thickBot="1">
      <c r="A67" s="160"/>
      <c r="B67" s="231"/>
      <c r="C67" s="620" t="s">
        <v>114</v>
      </c>
      <c r="D67" s="622" t="s">
        <v>115</v>
      </c>
      <c r="E67" s="210" t="s">
        <v>116</v>
      </c>
      <c r="F67" s="623" t="s">
        <v>117</v>
      </c>
      <c r="G67" s="15"/>
    </row>
    <row r="68" spans="1:26" ht="12.75">
      <c r="A68" s="336"/>
      <c r="B68" s="233"/>
      <c r="C68" s="197"/>
      <c r="D68" s="252"/>
      <c r="E68" s="166"/>
      <c r="F68" s="455"/>
      <c r="G68" s="15"/>
      <c r="N68" s="1048"/>
      <c r="X68" s="1048"/>
      <c r="Y68" s="1048"/>
      <c r="Z68" s="1049"/>
    </row>
    <row r="69" spans="1:8" ht="12.75">
      <c r="A69" s="624">
        <v>1995</v>
      </c>
      <c r="B69" s="664">
        <v>49896.81029575256</v>
      </c>
      <c r="C69" s="665">
        <v>10206.950517839286</v>
      </c>
      <c r="D69" s="182">
        <v>6478.024305882259</v>
      </c>
      <c r="E69" s="147">
        <v>32742.70999491524</v>
      </c>
      <c r="F69" s="554">
        <v>469.12547711577855</v>
      </c>
      <c r="G69" s="15"/>
      <c r="H69" s="105"/>
    </row>
    <row r="70" spans="1:8" ht="12.75">
      <c r="A70" s="626">
        <v>1996</v>
      </c>
      <c r="B70" s="666">
        <v>70910.11654817517</v>
      </c>
      <c r="C70" s="667">
        <v>30680.10465590864</v>
      </c>
      <c r="D70" s="134">
        <v>10771.794070039641</v>
      </c>
      <c r="E70" s="144">
        <v>28763.339183339045</v>
      </c>
      <c r="F70" s="556">
        <v>694.8786388878339</v>
      </c>
      <c r="G70" s="15"/>
      <c r="H70" s="105"/>
    </row>
    <row r="71" spans="1:8" ht="12.75">
      <c r="A71" s="624">
        <v>1997</v>
      </c>
      <c r="B71" s="664">
        <v>160185.8570265067</v>
      </c>
      <c r="C71" s="665">
        <v>96382.23990107345</v>
      </c>
      <c r="D71" s="182">
        <v>24594.75582459158</v>
      </c>
      <c r="E71" s="147">
        <v>38571.498811829646</v>
      </c>
      <c r="F71" s="554">
        <v>637.3624890120437</v>
      </c>
      <c r="G71" s="15"/>
      <c r="H71" s="105"/>
    </row>
    <row r="72" spans="1:8" ht="12.75">
      <c r="A72" s="626">
        <v>1998</v>
      </c>
      <c r="B72" s="666">
        <v>202083.9708896129</v>
      </c>
      <c r="C72" s="667">
        <v>99252.95580990791</v>
      </c>
      <c r="D72" s="134">
        <v>45211.538682197286</v>
      </c>
      <c r="E72" s="144">
        <v>57391.37182441397</v>
      </c>
      <c r="F72" s="556">
        <v>228.10457309369593</v>
      </c>
      <c r="G72" s="15"/>
      <c r="H72" s="105"/>
    </row>
    <row r="73" spans="1:8" ht="12.75">
      <c r="A73" s="624">
        <v>1999</v>
      </c>
      <c r="B73" s="664">
        <v>213570.22841279037</v>
      </c>
      <c r="C73" s="665">
        <v>119194.54267203857</v>
      </c>
      <c r="D73" s="182">
        <v>48895.06297799001</v>
      </c>
      <c r="E73" s="147">
        <v>45480.62276276177</v>
      </c>
      <c r="F73" s="554"/>
      <c r="G73" s="15"/>
      <c r="H73" s="105"/>
    </row>
    <row r="74" spans="1:8" ht="12.75">
      <c r="A74" s="626">
        <v>2000</v>
      </c>
      <c r="B74" s="666">
        <v>246997.36354015436</v>
      </c>
      <c r="C74" s="667">
        <v>132207.3118869088</v>
      </c>
      <c r="D74" s="134">
        <v>55496.15019204278</v>
      </c>
      <c r="E74" s="144">
        <v>59293.901461202775</v>
      </c>
      <c r="F74" s="556"/>
      <c r="G74" s="15"/>
      <c r="H74" s="105"/>
    </row>
    <row r="75" spans="1:41" ht="12.75">
      <c r="A75" s="624">
        <v>2001</v>
      </c>
      <c r="B75" s="664">
        <v>276726.23015266506</v>
      </c>
      <c r="C75" s="668">
        <v>158436.9935551655</v>
      </c>
      <c r="D75" s="557">
        <v>61930.509964147124</v>
      </c>
      <c r="E75" s="196">
        <v>56358.72663335243</v>
      </c>
      <c r="F75" s="183"/>
      <c r="G75" s="15"/>
      <c r="N75" s="26"/>
      <c r="O75" s="26"/>
      <c r="P75" s="26"/>
      <c r="Q75" s="9"/>
      <c r="R75" s="9"/>
      <c r="X75" s="26"/>
      <c r="Y75" s="26"/>
      <c r="Z75" s="26"/>
      <c r="AA75" s="9"/>
      <c r="AB75" s="9"/>
      <c r="AO75" s="105"/>
    </row>
    <row r="76" spans="1:45" ht="12.75">
      <c r="A76" s="626">
        <v>2002</v>
      </c>
      <c r="B76" s="666">
        <v>294839.0426933033</v>
      </c>
      <c r="C76" s="669">
        <v>197213.13237481116</v>
      </c>
      <c r="D76" s="347">
        <v>50406.7309702645</v>
      </c>
      <c r="E76" s="194">
        <v>47219.17934822764</v>
      </c>
      <c r="F76" s="184"/>
      <c r="G76" s="15"/>
      <c r="M76" s="1023"/>
      <c r="N76" s="802"/>
      <c r="O76" s="802"/>
      <c r="P76" s="802"/>
      <c r="Q76" s="9"/>
      <c r="R76" s="9"/>
      <c r="W76" s="1023"/>
      <c r="X76" s="802"/>
      <c r="Y76" s="802"/>
      <c r="Z76" s="802"/>
      <c r="AA76" s="9"/>
      <c r="AB76" s="9"/>
      <c r="AO76" s="105"/>
      <c r="AP76" s="636"/>
      <c r="AQ76" s="26"/>
      <c r="AR76" s="26"/>
      <c r="AS76" s="26"/>
    </row>
    <row r="77" spans="1:45" ht="12.75">
      <c r="A77" s="624">
        <v>2003</v>
      </c>
      <c r="B77" s="664">
        <v>316113.97125522856</v>
      </c>
      <c r="C77" s="668">
        <v>210982.06786323318</v>
      </c>
      <c r="D77" s="557">
        <v>49267.43829973305</v>
      </c>
      <c r="E77" s="196">
        <v>55864.465092262326</v>
      </c>
      <c r="F77" s="183"/>
      <c r="G77" s="15"/>
      <c r="M77" s="1023"/>
      <c r="N77" s="802"/>
      <c r="O77" s="802"/>
      <c r="P77" s="802"/>
      <c r="Q77" s="9"/>
      <c r="R77" s="9"/>
      <c r="W77" s="1023"/>
      <c r="X77" s="802"/>
      <c r="Y77" s="802"/>
      <c r="Z77" s="802"/>
      <c r="AA77" s="9"/>
      <c r="AB77" s="9"/>
      <c r="AO77" s="6"/>
      <c r="AP77" s="1026"/>
      <c r="AQ77" s="1050"/>
      <c r="AR77" s="1050"/>
      <c r="AS77" s="1050"/>
    </row>
    <row r="78" spans="1:45" ht="12.75">
      <c r="A78" s="626">
        <v>2004</v>
      </c>
      <c r="B78" s="666">
        <v>395429.8941318206</v>
      </c>
      <c r="C78" s="669">
        <v>261255.98470504212</v>
      </c>
      <c r="D78" s="347">
        <v>61011.54016748945</v>
      </c>
      <c r="E78" s="194">
        <v>73162.36925928899</v>
      </c>
      <c r="F78" s="184"/>
      <c r="G78" s="15"/>
      <c r="M78" s="1023"/>
      <c r="N78" s="802"/>
      <c r="O78" s="802"/>
      <c r="P78" s="802"/>
      <c r="Q78" s="9"/>
      <c r="R78" s="9"/>
      <c r="W78" s="1023"/>
      <c r="X78" s="802"/>
      <c r="Y78" s="802"/>
      <c r="Z78" s="802"/>
      <c r="AA78" s="9"/>
      <c r="AB78" s="9"/>
      <c r="AO78" s="6"/>
      <c r="AP78" s="1026"/>
      <c r="AQ78" s="1050"/>
      <c r="AR78" s="1050"/>
      <c r="AS78" s="1050"/>
    </row>
    <row r="79" spans="1:45" ht="12.75">
      <c r="A79" s="624">
        <v>2005</v>
      </c>
      <c r="B79" s="664">
        <v>431433.3782586926</v>
      </c>
      <c r="C79" s="664">
        <v>280004.194556726</v>
      </c>
      <c r="D79" s="557">
        <v>63093.20361910589</v>
      </c>
      <c r="E79" s="196">
        <v>88335.98008286075</v>
      </c>
      <c r="F79" s="183"/>
      <c r="G79" s="15"/>
      <c r="M79" s="1023"/>
      <c r="N79" s="802"/>
      <c r="O79" s="802"/>
      <c r="P79" s="802"/>
      <c r="Q79" s="9"/>
      <c r="R79" s="9"/>
      <c r="W79" s="1023"/>
      <c r="X79" s="802"/>
      <c r="Y79" s="802"/>
      <c r="Z79" s="802"/>
      <c r="AA79" s="9"/>
      <c r="AB79" s="9"/>
      <c r="AO79" s="6"/>
      <c r="AP79" s="1026"/>
      <c r="AQ79" s="1050"/>
      <c r="AR79" s="1050"/>
      <c r="AS79" s="1050"/>
    </row>
    <row r="80" spans="1:45" ht="12.75">
      <c r="A80" s="626">
        <v>2006</v>
      </c>
      <c r="B80" s="666">
        <v>460755.2665463867</v>
      </c>
      <c r="C80" s="669">
        <v>304813.8662391494</v>
      </c>
      <c r="D80" s="347">
        <v>74210.64025400313</v>
      </c>
      <c r="E80" s="194">
        <v>81730.76005323416</v>
      </c>
      <c r="F80" s="184"/>
      <c r="G80" s="15"/>
      <c r="M80" s="1023"/>
      <c r="N80" s="802"/>
      <c r="O80" s="802"/>
      <c r="P80" s="802"/>
      <c r="Q80" s="9"/>
      <c r="R80" s="9"/>
      <c r="W80" s="1023"/>
      <c r="X80" s="802"/>
      <c r="Y80" s="802"/>
      <c r="Z80" s="802"/>
      <c r="AA80" s="9"/>
      <c r="AB80" s="9"/>
      <c r="AO80" s="6"/>
      <c r="AP80" s="1026"/>
      <c r="AQ80" s="1050"/>
      <c r="AR80" s="1050"/>
      <c r="AS80" s="1050"/>
    </row>
    <row r="81" spans="1:46" ht="12.75">
      <c r="A81" s="624">
        <v>2007</v>
      </c>
      <c r="B81" s="664">
        <v>525183.7879380467</v>
      </c>
      <c r="C81" s="668">
        <v>364077.87930127024</v>
      </c>
      <c r="D81" s="557">
        <v>78810.90419972524</v>
      </c>
      <c r="E81" s="196">
        <v>82295.00443705129</v>
      </c>
      <c r="F81" s="183"/>
      <c r="G81" s="15"/>
      <c r="M81" s="1023"/>
      <c r="N81" s="802"/>
      <c r="O81" s="802"/>
      <c r="P81" s="802"/>
      <c r="Q81" s="9"/>
      <c r="R81" s="9"/>
      <c r="W81" s="1023"/>
      <c r="X81" s="802"/>
      <c r="Y81" s="802"/>
      <c r="Z81" s="802"/>
      <c r="AA81" s="9"/>
      <c r="AB81" s="9"/>
      <c r="AO81" s="105"/>
      <c r="AQ81" s="670"/>
      <c r="AR81" s="670"/>
      <c r="AS81" s="670"/>
      <c r="AT81" s="548"/>
    </row>
    <row r="82" spans="1:46" ht="12.75">
      <c r="A82" s="626">
        <v>2008</v>
      </c>
      <c r="B82" s="666">
        <v>715097.2353655681</v>
      </c>
      <c r="C82" s="669">
        <v>482734.0955655065</v>
      </c>
      <c r="D82" s="347">
        <v>109806.18431818418</v>
      </c>
      <c r="E82" s="194">
        <v>122556.95548187746</v>
      </c>
      <c r="F82" s="184"/>
      <c r="G82" s="15"/>
      <c r="M82" s="1023"/>
      <c r="N82" s="802"/>
      <c r="O82" s="802"/>
      <c r="P82" s="802"/>
      <c r="Q82" s="9"/>
      <c r="R82" s="9"/>
      <c r="W82" s="1023"/>
      <c r="X82" s="802"/>
      <c r="Y82" s="802"/>
      <c r="Z82" s="802"/>
      <c r="AA82" s="9"/>
      <c r="AB82" s="9"/>
      <c r="AO82" s="105"/>
      <c r="AQ82" s="670"/>
      <c r="AR82" s="670"/>
      <c r="AS82" s="670"/>
      <c r="AT82" s="548"/>
    </row>
    <row r="83" spans="1:46" ht="12.75">
      <c r="A83" s="624">
        <v>2009</v>
      </c>
      <c r="B83" s="664">
        <v>560393.400996</v>
      </c>
      <c r="C83" s="668">
        <v>391283.16797</v>
      </c>
      <c r="D83" s="557">
        <v>74718.84281999999</v>
      </c>
      <c r="E83" s="196">
        <v>94391.39020600001</v>
      </c>
      <c r="F83" s="183"/>
      <c r="G83" s="15"/>
      <c r="M83" s="1023"/>
      <c r="N83" s="802"/>
      <c r="O83" s="802"/>
      <c r="P83" s="802"/>
      <c r="Q83" s="9"/>
      <c r="R83" s="9"/>
      <c r="W83" s="1023"/>
      <c r="X83" s="802"/>
      <c r="Y83" s="802"/>
      <c r="Z83" s="802"/>
      <c r="AA83" s="9"/>
      <c r="AB83" s="9"/>
      <c r="AO83" s="105"/>
      <c r="AQ83" s="670"/>
      <c r="AR83" s="670"/>
      <c r="AS83" s="670"/>
      <c r="AT83" s="548"/>
    </row>
    <row r="84" spans="1:46" ht="12.75">
      <c r="A84" s="638">
        <v>2010</v>
      </c>
      <c r="B84" s="671">
        <v>607430.911892382</v>
      </c>
      <c r="C84" s="672">
        <v>432611.9189069848</v>
      </c>
      <c r="D84" s="435">
        <v>68142.2160572644</v>
      </c>
      <c r="E84" s="568">
        <v>106676.77692813272</v>
      </c>
      <c r="F84" s="572"/>
      <c r="G84" s="15"/>
      <c r="M84" s="1023"/>
      <c r="N84" s="802"/>
      <c r="O84" s="802"/>
      <c r="P84" s="802"/>
      <c r="W84" s="1023"/>
      <c r="X84" s="802"/>
      <c r="Y84" s="802"/>
      <c r="Z84" s="802"/>
      <c r="AO84" s="105"/>
      <c r="AQ84" s="670"/>
      <c r="AR84" s="670"/>
      <c r="AS84" s="670"/>
      <c r="AT84" s="548"/>
    </row>
    <row r="85" spans="1:46" ht="12.75">
      <c r="A85" s="624">
        <v>2011</v>
      </c>
      <c r="B85" s="664">
        <v>692767.7927607779</v>
      </c>
      <c r="C85" s="668">
        <v>476158.8459317875</v>
      </c>
      <c r="D85" s="557">
        <v>86175.59616935308</v>
      </c>
      <c r="E85" s="196">
        <v>130433.35065963725</v>
      </c>
      <c r="F85" s="183"/>
      <c r="G85" s="15"/>
      <c r="M85" s="1023"/>
      <c r="N85" s="1051"/>
      <c r="O85" s="1051"/>
      <c r="P85" s="1051"/>
      <c r="W85" s="1023"/>
      <c r="X85" s="1051"/>
      <c r="Y85" s="1051"/>
      <c r="Z85" s="1051"/>
      <c r="AO85" s="105"/>
      <c r="AQ85" s="670"/>
      <c r="AR85" s="670"/>
      <c r="AS85" s="670"/>
      <c r="AT85" s="548"/>
    </row>
    <row r="86" spans="1:41" ht="13.5" thickBot="1">
      <c r="A86" s="1030"/>
      <c r="B86" s="1052"/>
      <c r="C86" s="1053"/>
      <c r="D86" s="1034"/>
      <c r="E86" s="1035"/>
      <c r="F86" s="1036"/>
      <c r="G86" s="15"/>
      <c r="AO86" s="673"/>
    </row>
    <row r="87" spans="1:41" ht="21" customHeight="1">
      <c r="A87" s="523" t="s">
        <v>167</v>
      </c>
      <c r="B87" s="1054">
        <v>0.14048820894303615</v>
      </c>
      <c r="C87" s="1055">
        <v>0.10066048835368702</v>
      </c>
      <c r="D87" s="498">
        <v>0.26464328804531445</v>
      </c>
      <c r="E87" s="498">
        <v>0.222696770708672</v>
      </c>
      <c r="F87" s="575"/>
      <c r="G87" s="15"/>
      <c r="N87" s="12"/>
      <c r="O87" s="12"/>
      <c r="P87" s="12"/>
      <c r="Q87" s="1056"/>
      <c r="X87" s="12"/>
      <c r="Y87" s="12"/>
      <c r="Z87" s="12"/>
      <c r="AA87" s="1056"/>
      <c r="AO87" s="95"/>
    </row>
    <row r="88" spans="1:27" ht="21" customHeight="1">
      <c r="A88" s="951" t="s">
        <v>171</v>
      </c>
      <c r="B88" s="1057">
        <v>0.08498435567881057</v>
      </c>
      <c r="C88" s="1058">
        <v>0.09331026952960997</v>
      </c>
      <c r="D88" s="1059">
        <v>0.0303472673570917</v>
      </c>
      <c r="E88" s="1059">
        <v>0.09799565783600994</v>
      </c>
      <c r="F88" s="576"/>
      <c r="G88" s="15"/>
      <c r="N88" s="12"/>
      <c r="O88" s="12"/>
      <c r="P88" s="12"/>
      <c r="Q88" s="1060"/>
      <c r="X88" s="12"/>
      <c r="Y88" s="12"/>
      <c r="Z88" s="12"/>
      <c r="AA88" s="1060"/>
    </row>
    <row r="89" spans="1:27" ht="21" customHeight="1">
      <c r="A89" s="952" t="s">
        <v>169</v>
      </c>
      <c r="B89" s="1061">
        <v>1.8047578436931557</v>
      </c>
      <c r="C89" s="730">
        <v>2.6016074991305898</v>
      </c>
      <c r="D89" s="501">
        <v>0.5528211573441579</v>
      </c>
      <c r="E89" s="501">
        <v>1.199776831095901</v>
      </c>
      <c r="F89" s="576"/>
      <c r="G89" s="15"/>
      <c r="N89" s="1062"/>
      <c r="O89" s="1062"/>
      <c r="P89" s="1062"/>
      <c r="Q89" s="1056"/>
      <c r="X89" s="1062"/>
      <c r="Y89" s="1062"/>
      <c r="Z89" s="1062"/>
      <c r="AA89" s="1063"/>
    </row>
    <row r="90" spans="1:27" ht="21" customHeight="1" thickBot="1">
      <c r="A90" s="953" t="s">
        <v>170</v>
      </c>
      <c r="B90" s="1064">
        <v>0.09829185035269017</v>
      </c>
      <c r="C90" s="1065">
        <v>0.1235452814615623</v>
      </c>
      <c r="D90" s="1066">
        <v>0.04081771718659599</v>
      </c>
      <c r="E90" s="1066">
        <v>0.07429939069763902</v>
      </c>
      <c r="F90" s="200"/>
      <c r="G90" s="15"/>
      <c r="N90" s="1062"/>
      <c r="O90" s="1062"/>
      <c r="P90" s="1062"/>
      <c r="Q90" s="1056"/>
      <c r="X90" s="1062"/>
      <c r="Y90" s="1062"/>
      <c r="Z90" s="1062"/>
      <c r="AA90" s="1063"/>
    </row>
    <row r="91" spans="1:17" ht="12.75">
      <c r="A91" t="s">
        <v>173</v>
      </c>
      <c r="Q91" s="942"/>
    </row>
    <row r="92" ht="12.75">
      <c r="A92" s="34"/>
    </row>
    <row r="99" spans="36:45" ht="12.75"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36:45" ht="12.75"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36:45" ht="12.75"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36:45" ht="12.75"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36:45" ht="12.75"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36:45" ht="12.75"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36:45" ht="12.75"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36:45" ht="12.75"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36:45" ht="12.75"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36:45" ht="12.75"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36:45" ht="12.75"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36:45" ht="12.75"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36:45" ht="12.75"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36:56" ht="12.75">
      <c r="AJ112" s="24"/>
      <c r="AK112" s="24"/>
      <c r="AL112" s="24"/>
      <c r="AM112" s="24"/>
      <c r="AN112" s="24"/>
      <c r="AO112" s="674"/>
      <c r="AP112" s="674"/>
      <c r="AQ112" s="674"/>
      <c r="AR112" s="674"/>
      <c r="AS112" s="674"/>
      <c r="AT112" s="674" t="s">
        <v>128</v>
      </c>
      <c r="AU112" s="675">
        <v>945581.9160000002</v>
      </c>
      <c r="AV112" s="676">
        <v>93.97899999999998</v>
      </c>
      <c r="AW112" s="675">
        <v>945675.8950000003</v>
      </c>
      <c r="AX112" s="675">
        <v>288970.27599999995</v>
      </c>
      <c r="AY112" s="676">
        <v>119.909</v>
      </c>
      <c r="AZ112" s="675">
        <v>289090.18499999994</v>
      </c>
      <c r="BA112" s="675">
        <v>1388656.3689999997</v>
      </c>
      <c r="BB112" s="676">
        <v>60944.435</v>
      </c>
      <c r="BC112" s="675">
        <v>1449600.8039999998</v>
      </c>
      <c r="BD112" s="677">
        <v>2684366.884</v>
      </c>
    </row>
    <row r="113" spans="36:56" ht="12.75">
      <c r="AJ113" s="24"/>
      <c r="AK113" s="24"/>
      <c r="AL113" s="24"/>
      <c r="AM113" s="24"/>
      <c r="AN113" s="24"/>
      <c r="AO113" s="674"/>
      <c r="AP113" s="674"/>
      <c r="AQ113" s="674"/>
      <c r="AR113" s="674"/>
      <c r="AS113" s="674"/>
      <c r="AT113" s="674" t="s">
        <v>129</v>
      </c>
      <c r="AU113" s="675">
        <v>1067124.005</v>
      </c>
      <c r="AV113" s="676">
        <v>97.435</v>
      </c>
      <c r="AW113" s="675">
        <v>1067221.44</v>
      </c>
      <c r="AX113" s="675">
        <v>322223.28</v>
      </c>
      <c r="AY113" s="676">
        <v>120.273</v>
      </c>
      <c r="AZ113" s="675">
        <v>322343.55299999996</v>
      </c>
      <c r="BA113" s="675">
        <v>1429897.6949999998</v>
      </c>
      <c r="BB113" s="676">
        <v>66000.58499999999</v>
      </c>
      <c r="BC113" s="675">
        <v>1495898.28</v>
      </c>
      <c r="BD113" s="677">
        <v>2885463.273</v>
      </c>
    </row>
    <row r="114" spans="36:56" ht="12.75">
      <c r="AJ114" s="24"/>
      <c r="AK114" s="24"/>
      <c r="AL114" s="24"/>
      <c r="AM114" s="24"/>
      <c r="AN114" s="24"/>
      <c r="AO114" s="674"/>
      <c r="AP114" s="674"/>
      <c r="AQ114" s="674"/>
      <c r="AR114" s="674"/>
      <c r="AS114" s="674"/>
      <c r="AT114" s="674" t="s">
        <v>130</v>
      </c>
      <c r="AU114" s="675">
        <v>1052792.0250000004</v>
      </c>
      <c r="AV114" s="676">
        <v>91.211</v>
      </c>
      <c r="AW114" s="675">
        <v>1052883.2360000003</v>
      </c>
      <c r="AX114" s="675">
        <v>321630.63800000004</v>
      </c>
      <c r="AY114" s="676">
        <v>124.909</v>
      </c>
      <c r="AZ114" s="675">
        <v>321755.547</v>
      </c>
      <c r="BA114" s="675">
        <v>1435527.5689999997</v>
      </c>
      <c r="BB114" s="676">
        <v>65604.204</v>
      </c>
      <c r="BC114" s="675">
        <v>1501131.7729999996</v>
      </c>
      <c r="BD114" s="677">
        <v>2875770.556</v>
      </c>
    </row>
    <row r="115" spans="36:56" ht="12.75">
      <c r="AJ115" s="24"/>
      <c r="AK115" s="24"/>
      <c r="AL115" s="24"/>
      <c r="AM115" s="24"/>
      <c r="AN115" s="24"/>
      <c r="AO115" s="674"/>
      <c r="AP115" s="674"/>
      <c r="AQ115" s="674"/>
      <c r="AR115" s="674"/>
      <c r="AS115" s="674"/>
      <c r="AT115" s="674" t="s">
        <v>131</v>
      </c>
      <c r="AU115" s="675">
        <v>1069230.729</v>
      </c>
      <c r="AV115" s="676">
        <v>39.456</v>
      </c>
      <c r="AW115" s="675">
        <v>1069270.185</v>
      </c>
      <c r="AX115" s="675">
        <v>332738.132</v>
      </c>
      <c r="AY115" s="676">
        <v>143.091</v>
      </c>
      <c r="AZ115" s="675">
        <v>332881.223</v>
      </c>
      <c r="BA115" s="675">
        <v>1437947.8660000004</v>
      </c>
      <c r="BB115" s="676">
        <v>68065.8620821098</v>
      </c>
      <c r="BC115" s="675">
        <v>1506013.7280821102</v>
      </c>
      <c r="BD115" s="677">
        <v>2908165.13608211</v>
      </c>
    </row>
    <row r="116" spans="36:56" ht="12.75">
      <c r="AJ116" s="24"/>
      <c r="AK116" s="24"/>
      <c r="AL116" s="24"/>
      <c r="AM116" s="24"/>
      <c r="AN116" s="24"/>
      <c r="AO116" s="674"/>
      <c r="AP116" s="674"/>
      <c r="AQ116" s="674"/>
      <c r="AR116" s="674"/>
      <c r="AS116" s="674"/>
      <c r="AT116" s="674" t="s">
        <v>132</v>
      </c>
      <c r="AU116" s="675">
        <v>996453.785</v>
      </c>
      <c r="AV116" s="676">
        <v>7.545</v>
      </c>
      <c r="AW116" s="675">
        <v>996461.33</v>
      </c>
      <c r="AX116" s="675">
        <v>317904.194</v>
      </c>
      <c r="AY116" s="676">
        <v>120.091</v>
      </c>
      <c r="AZ116" s="675">
        <v>318024.28500000003</v>
      </c>
      <c r="BA116" s="675">
        <v>1401029.9340000006</v>
      </c>
      <c r="BB116" s="676">
        <v>64413.86543705237</v>
      </c>
      <c r="BC116" s="675">
        <v>1465443.799437053</v>
      </c>
      <c r="BD116" s="677">
        <v>2779929.414437053</v>
      </c>
    </row>
    <row r="117" spans="36:56" ht="12.75">
      <c r="AJ117" s="24"/>
      <c r="AK117" s="24"/>
      <c r="AL117" s="24"/>
      <c r="AM117" s="24"/>
      <c r="AN117" s="24"/>
      <c r="AO117" s="674"/>
      <c r="AP117" s="674"/>
      <c r="AQ117" s="674"/>
      <c r="AR117" s="674"/>
      <c r="AS117" s="674"/>
      <c r="AT117" s="674" t="s">
        <v>133</v>
      </c>
      <c r="AU117" s="675">
        <v>1033516.6749999998</v>
      </c>
      <c r="AV117" s="676">
        <v>7.547000000000001</v>
      </c>
      <c r="AW117" s="675">
        <v>1033524.2219999998</v>
      </c>
      <c r="AX117" s="675">
        <v>322782.90599999996</v>
      </c>
      <c r="AY117" s="676">
        <v>114.091</v>
      </c>
      <c r="AZ117" s="675">
        <v>322896.997</v>
      </c>
      <c r="BA117" s="675">
        <v>1415044.5742875563</v>
      </c>
      <c r="BB117" s="676">
        <v>66178.70296497217</v>
      </c>
      <c r="BC117" s="675">
        <v>1481223.2772525286</v>
      </c>
      <c r="BD117" s="677">
        <v>2837644.4962525284</v>
      </c>
    </row>
    <row r="118" spans="36:56" ht="12.75">
      <c r="AJ118" s="24"/>
      <c r="AK118" s="24"/>
      <c r="AL118" s="24"/>
      <c r="AM118" s="24"/>
      <c r="AN118" s="24"/>
      <c r="AO118" s="674"/>
      <c r="AP118" s="674"/>
      <c r="AQ118" s="674"/>
      <c r="AR118" s="674"/>
      <c r="AS118" s="674"/>
      <c r="AT118" s="674" t="s">
        <v>134</v>
      </c>
      <c r="AU118" s="675">
        <v>1044628.1639999995</v>
      </c>
      <c r="AV118" s="676">
        <v>8.007</v>
      </c>
      <c r="AW118" s="675">
        <v>1044636.1709999995</v>
      </c>
      <c r="AX118" s="675">
        <v>312335.353</v>
      </c>
      <c r="AY118" s="676">
        <v>108.909</v>
      </c>
      <c r="AZ118" s="675">
        <v>312444.262</v>
      </c>
      <c r="BA118" s="675">
        <v>1426709.954872772</v>
      </c>
      <c r="BB118" s="676">
        <v>61067.8283047112</v>
      </c>
      <c r="BC118" s="675">
        <v>1487777.7831774834</v>
      </c>
      <c r="BD118" s="677">
        <v>2844858.2161774826</v>
      </c>
    </row>
    <row r="119" spans="36:56" ht="12.75">
      <c r="AJ119" s="24"/>
      <c r="AK119" s="24"/>
      <c r="AL119" s="24"/>
      <c r="AM119" s="24"/>
      <c r="AN119" s="24"/>
      <c r="AO119" s="674"/>
      <c r="AP119" s="674"/>
      <c r="AQ119" s="674"/>
      <c r="AR119" s="674"/>
      <c r="AS119" s="674"/>
      <c r="AT119" s="674" t="s">
        <v>135</v>
      </c>
      <c r="AU119" s="675">
        <v>1087489.3509999998</v>
      </c>
      <c r="AV119" s="676">
        <v>7.343</v>
      </c>
      <c r="AW119" s="675">
        <v>1087496.694</v>
      </c>
      <c r="AX119" s="675">
        <v>307009.46737500007</v>
      </c>
      <c r="AY119" s="676">
        <v>0</v>
      </c>
      <c r="AZ119" s="675">
        <v>307009.46737500007</v>
      </c>
      <c r="BA119" s="675">
        <v>1434257.7606533286</v>
      </c>
      <c r="BB119" s="676">
        <v>65178.19311321209</v>
      </c>
      <c r="BC119" s="675">
        <v>1499435.9537665406</v>
      </c>
      <c r="BD119" s="677">
        <v>2893942.1151415403</v>
      </c>
    </row>
    <row r="120" spans="36:56" ht="12.75">
      <c r="AJ120" s="24"/>
      <c r="AK120" s="24"/>
      <c r="AL120" s="24"/>
      <c r="AM120" s="24"/>
      <c r="AN120" s="24"/>
      <c r="AO120" s="674"/>
      <c r="AP120" s="674"/>
      <c r="AQ120" s="674"/>
      <c r="AR120" s="674"/>
      <c r="AS120" s="674"/>
      <c r="AT120" s="1271" t="s">
        <v>136</v>
      </c>
      <c r="AU120" s="678">
        <v>9344147.065000001</v>
      </c>
      <c r="AV120" s="679">
        <v>477.696</v>
      </c>
      <c r="AW120" s="678">
        <v>9344624.761000002</v>
      </c>
      <c r="AX120" s="678">
        <v>2822578.343375</v>
      </c>
      <c r="AY120" s="679">
        <v>986</v>
      </c>
      <c r="AZ120" s="678">
        <v>2823564.343375</v>
      </c>
      <c r="BA120" s="678">
        <v>12784131.000813657</v>
      </c>
      <c r="BB120" s="679">
        <v>583370.8739020576</v>
      </c>
      <c r="BC120" s="678">
        <v>13367501.874715716</v>
      </c>
      <c r="BD120" s="680">
        <v>25535690.979090717</v>
      </c>
    </row>
    <row r="121" spans="36:56" ht="12.75">
      <c r="AJ121" s="24"/>
      <c r="AK121" s="24"/>
      <c r="AL121" s="24"/>
      <c r="AM121" s="24"/>
      <c r="AN121" s="24"/>
      <c r="AO121" s="674"/>
      <c r="AP121" s="674"/>
      <c r="AQ121" s="674"/>
      <c r="AR121" s="674"/>
      <c r="AS121" s="674"/>
      <c r="AT121" s="681"/>
      <c r="AU121" s="1067">
        <v>0.999948880130319</v>
      </c>
      <c r="AV121" s="1067">
        <v>5.1119869680982255E-05</v>
      </c>
      <c r="AW121" s="1067"/>
      <c r="AX121" s="1067">
        <v>0.9996507959868832</v>
      </c>
      <c r="AY121" s="1067">
        <v>0.00034920401311678146</v>
      </c>
      <c r="AZ121" s="1067"/>
      <c r="BA121" s="1067">
        <v>0.9563590206031324</v>
      </c>
      <c r="BB121" s="1067">
        <v>0.043640979396867605</v>
      </c>
      <c r="BC121" s="681"/>
      <c r="BD121" s="682"/>
    </row>
    <row r="122" spans="36:45" ht="12.75"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36:45" ht="12.75"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36:45" ht="12.75"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36:45" ht="12.75"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36:45" ht="12.75"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</sheetData>
  <sheetProtection password="B728" sheet="1"/>
  <mergeCells count="7">
    <mergeCell ref="C66:F66"/>
    <mergeCell ref="C35:G35"/>
    <mergeCell ref="H35:L35"/>
    <mergeCell ref="C5:E5"/>
    <mergeCell ref="F5:H5"/>
    <mergeCell ref="I5:K5"/>
    <mergeCell ref="C15:E15"/>
  </mergeCells>
  <printOptions/>
  <pageMargins left="0.59" right="0.33" top="1.24" bottom="1" header="0" footer="0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59"/>
  <sheetViews>
    <sheetView view="pageBreakPreview" zoomScaleNormal="75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</cols>
  <sheetData>
    <row r="6" ht="18">
      <c r="A6" s="10" t="s">
        <v>176</v>
      </c>
    </row>
    <row r="8" spans="3:11" ht="15">
      <c r="C8" s="103"/>
      <c r="D8" s="103"/>
      <c r="E8" s="103"/>
      <c r="F8" s="103"/>
      <c r="G8" s="103"/>
      <c r="H8" s="104"/>
      <c r="I8" s="104"/>
      <c r="J8" s="104"/>
      <c r="K8" s="104"/>
    </row>
    <row r="9" spans="2:11" ht="18">
      <c r="B9" s="10" t="s">
        <v>139</v>
      </c>
      <c r="K9" s="15"/>
    </row>
    <row r="11" spans="2:11" ht="12.75">
      <c r="B11" s="1621" t="s">
        <v>47</v>
      </c>
      <c r="C11" s="1623" t="s">
        <v>122</v>
      </c>
      <c r="D11" s="1624"/>
      <c r="E11" s="1624"/>
      <c r="F11" s="1623" t="s">
        <v>108</v>
      </c>
      <c r="G11" s="1624"/>
      <c r="H11" s="1624"/>
      <c r="I11" s="1625" t="s">
        <v>109</v>
      </c>
      <c r="J11" s="1624"/>
      <c r="K11" s="1626"/>
    </row>
    <row r="12" spans="2:11" ht="12.75">
      <c r="B12" s="1633"/>
      <c r="C12" s="589" t="s">
        <v>55</v>
      </c>
      <c r="D12" s="683" t="s">
        <v>110</v>
      </c>
      <c r="E12" s="684" t="s">
        <v>111</v>
      </c>
      <c r="F12" s="685" t="s">
        <v>112</v>
      </c>
      <c r="G12" s="686" t="s">
        <v>110</v>
      </c>
      <c r="H12" s="684" t="s">
        <v>111</v>
      </c>
      <c r="I12" s="687" t="s">
        <v>55</v>
      </c>
      <c r="J12" s="683" t="s">
        <v>110</v>
      </c>
      <c r="K12" s="688" t="s">
        <v>111</v>
      </c>
    </row>
    <row r="13" spans="2:11" ht="12.75">
      <c r="B13" s="689"/>
      <c r="C13" s="690"/>
      <c r="D13" s="691"/>
      <c r="E13" s="692"/>
      <c r="F13" s="693"/>
      <c r="G13" s="694"/>
      <c r="H13" s="692"/>
      <c r="I13" s="695"/>
      <c r="J13" s="691"/>
      <c r="K13" s="696"/>
    </row>
    <row r="14" spans="2:11" ht="12.75">
      <c r="B14" s="320"/>
      <c r="C14" s="605"/>
      <c r="D14" s="1251"/>
      <c r="E14" s="582"/>
      <c r="F14" s="1254"/>
      <c r="G14" s="1253"/>
      <c r="H14" s="582"/>
      <c r="I14" s="1252"/>
      <c r="J14" s="1251"/>
      <c r="K14" s="1250"/>
    </row>
    <row r="15" spans="2:16" ht="12.75">
      <c r="B15" s="366">
        <v>1995</v>
      </c>
      <c r="C15" s="697">
        <v>8.393283624126928</v>
      </c>
      <c r="D15" s="698">
        <v>10.148610371781364</v>
      </c>
      <c r="E15" s="699">
        <v>5.091776878835866</v>
      </c>
      <c r="F15" s="700">
        <v>8.955560685264611</v>
      </c>
      <c r="G15" s="701">
        <v>10.148610371781364</v>
      </c>
      <c r="H15" s="699">
        <v>5.535737559334477</v>
      </c>
      <c r="I15" s="702">
        <v>4.2445573090579085</v>
      </c>
      <c r="J15" s="698"/>
      <c r="K15" s="238">
        <v>4.2445573090579085</v>
      </c>
      <c r="L15" s="24"/>
      <c r="M15" s="13"/>
      <c r="O15" s="106"/>
      <c r="P15" s="106"/>
    </row>
    <row r="16" spans="2:16" ht="12.75">
      <c r="B16" s="314">
        <v>1996</v>
      </c>
      <c r="C16" s="703">
        <v>8.647606873247458</v>
      </c>
      <c r="D16" s="704">
        <v>10.37984664865154</v>
      </c>
      <c r="E16" s="705">
        <v>5.337476550474294</v>
      </c>
      <c r="F16" s="706">
        <v>9.377457321378525</v>
      </c>
      <c r="G16" s="707">
        <v>10.37984664865154</v>
      </c>
      <c r="H16" s="705">
        <v>5.959296987167691</v>
      </c>
      <c r="I16" s="708">
        <v>4.5448535324028105</v>
      </c>
      <c r="J16" s="704"/>
      <c r="K16" s="175">
        <v>4.5448535324028105</v>
      </c>
      <c r="L16" s="24"/>
      <c r="M16" s="13"/>
      <c r="O16" s="106"/>
      <c r="P16" s="106"/>
    </row>
    <row r="17" spans="2:16" ht="12.75">
      <c r="B17" s="366">
        <v>1997</v>
      </c>
      <c r="C17" s="697">
        <v>8.188247454393998</v>
      </c>
      <c r="D17" s="698">
        <v>10.146978053246059</v>
      </c>
      <c r="E17" s="699">
        <v>5.42012003110907</v>
      </c>
      <c r="F17" s="700">
        <v>9.163588512282494</v>
      </c>
      <c r="G17" s="701">
        <v>10.146978053246059</v>
      </c>
      <c r="H17" s="699">
        <v>5.72653726488949</v>
      </c>
      <c r="I17" s="702">
        <v>5.212117520815097</v>
      </c>
      <c r="J17" s="698"/>
      <c r="K17" s="238">
        <v>5.212117520815097</v>
      </c>
      <c r="L17" s="24"/>
      <c r="M17" s="13"/>
      <c r="O17" s="106"/>
      <c r="P17" s="106"/>
    </row>
    <row r="18" spans="2:16" ht="12.75">
      <c r="B18" s="314">
        <v>1998</v>
      </c>
      <c r="C18" s="703">
        <v>7.053856955139542</v>
      </c>
      <c r="D18" s="704">
        <v>8.753240333635766</v>
      </c>
      <c r="E18" s="705">
        <v>4.94595784965148</v>
      </c>
      <c r="F18" s="706">
        <v>7.957160935688618</v>
      </c>
      <c r="G18" s="707">
        <v>8.753240333635766</v>
      </c>
      <c r="H18" s="705">
        <v>5.048646397780676</v>
      </c>
      <c r="I18" s="708">
        <v>4.893174766470397</v>
      </c>
      <c r="J18" s="704"/>
      <c r="K18" s="175">
        <v>4.893174766470397</v>
      </c>
      <c r="L18" s="24"/>
      <c r="M18" s="13"/>
      <c r="O18" s="106"/>
      <c r="P18" s="106"/>
    </row>
    <row r="19" spans="2:16" ht="12.75">
      <c r="B19" s="366">
        <v>1999</v>
      </c>
      <c r="C19" s="697">
        <v>6.797971094322021</v>
      </c>
      <c r="D19" s="698">
        <v>8.306642636464446</v>
      </c>
      <c r="E19" s="699">
        <v>4.930191581893625</v>
      </c>
      <c r="F19" s="700">
        <v>7.632021028288909</v>
      </c>
      <c r="G19" s="701">
        <v>8.306642636464446</v>
      </c>
      <c r="H19" s="699">
        <v>5.071850676679181</v>
      </c>
      <c r="I19" s="702">
        <v>4.86160260753618</v>
      </c>
      <c r="J19" s="698"/>
      <c r="K19" s="238">
        <v>4.86160260753618</v>
      </c>
      <c r="L19" s="24"/>
      <c r="M19" s="13"/>
      <c r="O19" s="106"/>
      <c r="P19" s="106"/>
    </row>
    <row r="20" spans="2:16" ht="12.75">
      <c r="B20" s="314">
        <v>2000</v>
      </c>
      <c r="C20" s="703">
        <v>7.1600313284956645</v>
      </c>
      <c r="D20" s="704">
        <v>8.806339535814676</v>
      </c>
      <c r="E20" s="705">
        <v>5.221314050501441</v>
      </c>
      <c r="F20" s="706">
        <v>8.046552724103298</v>
      </c>
      <c r="G20" s="707">
        <v>8.806339535814676</v>
      </c>
      <c r="H20" s="705">
        <v>5.336014347117985</v>
      </c>
      <c r="I20" s="708">
        <v>5.164795484263346</v>
      </c>
      <c r="J20" s="709"/>
      <c r="K20" s="175">
        <v>5.164795484263346</v>
      </c>
      <c r="L20" s="24"/>
      <c r="M20" s="13"/>
      <c r="O20" s="106"/>
      <c r="P20" s="106"/>
    </row>
    <row r="21" spans="2:16" ht="12.75">
      <c r="B21" s="366">
        <v>2001</v>
      </c>
      <c r="C21" s="697">
        <v>6.851718186751588</v>
      </c>
      <c r="D21" s="698">
        <v>8.79492608729062</v>
      </c>
      <c r="E21" s="699">
        <v>4.742553278942958</v>
      </c>
      <c r="F21" s="700">
        <v>8.198076063917068</v>
      </c>
      <c r="G21" s="701">
        <v>8.794973611182403</v>
      </c>
      <c r="H21" s="699">
        <v>5.431810353536078</v>
      </c>
      <c r="I21" s="702">
        <v>4.531755939031402</v>
      </c>
      <c r="J21" s="710"/>
      <c r="K21" s="238">
        <v>4.531755939031402</v>
      </c>
      <c r="L21" s="24"/>
      <c r="M21" s="13"/>
      <c r="O21" s="106"/>
      <c r="P21" s="106"/>
    </row>
    <row r="22" spans="2:16" ht="12.75">
      <c r="B22" s="314">
        <v>2002</v>
      </c>
      <c r="C22" s="703">
        <v>6.572256406554834</v>
      </c>
      <c r="D22" s="704">
        <v>8.29052601185227</v>
      </c>
      <c r="E22" s="705">
        <v>4.68213770720213</v>
      </c>
      <c r="F22" s="706">
        <v>7.758352080828168</v>
      </c>
      <c r="G22" s="707">
        <v>8.29052601185227</v>
      </c>
      <c r="H22" s="705">
        <v>5.163988884999389</v>
      </c>
      <c r="I22" s="708">
        <v>4.541729686255704</v>
      </c>
      <c r="J22" s="709"/>
      <c r="K22" s="175">
        <v>4.541729686255704</v>
      </c>
      <c r="L22" s="24"/>
      <c r="O22" s="106"/>
      <c r="P22" s="106"/>
    </row>
    <row r="23" spans="2:18" ht="12.75">
      <c r="B23" s="366">
        <v>2003</v>
      </c>
      <c r="C23" s="697">
        <v>6.624151976068238</v>
      </c>
      <c r="D23" s="698">
        <v>8.439546821933085</v>
      </c>
      <c r="E23" s="699">
        <v>4.633474888499332</v>
      </c>
      <c r="F23" s="700">
        <v>7.97175316190768</v>
      </c>
      <c r="G23" s="701">
        <v>8.439546821933085</v>
      </c>
      <c r="H23" s="699">
        <v>5.315913767730284</v>
      </c>
      <c r="I23" s="702">
        <v>4.470113199324197</v>
      </c>
      <c r="J23" s="710"/>
      <c r="K23" s="238">
        <v>4.470113199324197</v>
      </c>
      <c r="L23" s="24"/>
      <c r="O23" s="106"/>
      <c r="P23" s="106"/>
      <c r="R23" s="26"/>
    </row>
    <row r="24" spans="2:18" ht="12.75">
      <c r="B24" s="314">
        <v>2004</v>
      </c>
      <c r="C24" s="703">
        <v>7.037954108895671</v>
      </c>
      <c r="D24" s="704">
        <v>8.67420160541909</v>
      </c>
      <c r="E24" s="705">
        <v>5.214201316426084</v>
      </c>
      <c r="F24" s="706">
        <v>8.223023177008951</v>
      </c>
      <c r="G24" s="707">
        <v>8.67420160541909</v>
      </c>
      <c r="H24" s="705">
        <v>5.390146577505534</v>
      </c>
      <c r="I24" s="708">
        <v>5.176227190061146</v>
      </c>
      <c r="J24" s="709"/>
      <c r="K24" s="175">
        <v>5.176227190061146</v>
      </c>
      <c r="L24" s="24"/>
      <c r="O24" s="106"/>
      <c r="P24" s="106"/>
      <c r="R24" s="26"/>
    </row>
    <row r="25" spans="2:18" ht="12.75">
      <c r="B25" s="366">
        <v>2005</v>
      </c>
      <c r="C25" s="697">
        <v>7.629517461367721</v>
      </c>
      <c r="D25" s="698">
        <v>9.400777808861907</v>
      </c>
      <c r="E25" s="699">
        <v>5.561757922565469</v>
      </c>
      <c r="F25" s="700">
        <v>8.888491459581944</v>
      </c>
      <c r="G25" s="701">
        <v>9.400777808861907</v>
      </c>
      <c r="H25" s="699">
        <v>5.650701414642656</v>
      </c>
      <c r="I25" s="702">
        <v>5.541607608090972</v>
      </c>
      <c r="J25" s="710"/>
      <c r="K25" s="238">
        <v>5.541607608090972</v>
      </c>
      <c r="L25" s="24"/>
      <c r="O25" s="106"/>
      <c r="P25" s="106"/>
      <c r="R25" s="26"/>
    </row>
    <row r="26" spans="2:18" ht="12.75">
      <c r="B26" s="314">
        <v>2006</v>
      </c>
      <c r="C26" s="703">
        <v>7.5478896322436135</v>
      </c>
      <c r="D26" s="704">
        <v>9.20541981902347</v>
      </c>
      <c r="E26" s="705">
        <v>5.55478195409213</v>
      </c>
      <c r="F26" s="706">
        <v>8.702584077848925</v>
      </c>
      <c r="G26" s="707">
        <v>9.20541981902347</v>
      </c>
      <c r="H26" s="705">
        <v>5.43744844190284</v>
      </c>
      <c r="I26" s="708">
        <v>5.581447756240201</v>
      </c>
      <c r="J26" s="709"/>
      <c r="K26" s="175">
        <v>5.581447756240201</v>
      </c>
      <c r="L26" s="24"/>
      <c r="O26" s="106"/>
      <c r="P26" s="106"/>
      <c r="R26" s="26"/>
    </row>
    <row r="27" spans="2:18" ht="12.75">
      <c r="B27" s="366">
        <v>2007</v>
      </c>
      <c r="C27" s="697">
        <v>7.40494411028258</v>
      </c>
      <c r="D27" s="698">
        <v>9.093906057369018</v>
      </c>
      <c r="E27" s="699">
        <v>5.423398620275471</v>
      </c>
      <c r="F27" s="700">
        <v>8.684354506431966</v>
      </c>
      <c r="G27" s="701">
        <v>9.093906057369018</v>
      </c>
      <c r="H27" s="699">
        <v>5.4423840053332935</v>
      </c>
      <c r="I27" s="702">
        <v>5.420095140533965</v>
      </c>
      <c r="J27" s="710"/>
      <c r="K27" s="238">
        <v>5.420095140533965</v>
      </c>
      <c r="L27" s="24"/>
      <c r="N27" s="95"/>
      <c r="O27" s="106"/>
      <c r="P27" s="106"/>
      <c r="R27" s="26"/>
    </row>
    <row r="28" spans="2:18" ht="12.75">
      <c r="B28" s="314">
        <v>2008</v>
      </c>
      <c r="C28" s="703">
        <v>8.21860962452384</v>
      </c>
      <c r="D28" s="704">
        <v>9.563809357904866</v>
      </c>
      <c r="E28" s="705">
        <v>6.63741891099464</v>
      </c>
      <c r="F28" s="706">
        <v>9.210201127006314</v>
      </c>
      <c r="G28" s="707">
        <v>9.563809357904866</v>
      </c>
      <c r="H28" s="705">
        <v>6.228330130971452</v>
      </c>
      <c r="I28" s="708">
        <v>6.719070229036941</v>
      </c>
      <c r="J28" s="709"/>
      <c r="K28" s="175">
        <v>6.719070229036941</v>
      </c>
      <c r="L28" s="24"/>
      <c r="N28" s="95"/>
      <c r="O28" s="106"/>
      <c r="P28" s="106"/>
      <c r="R28" s="26"/>
    </row>
    <row r="29" spans="2:18" ht="12.75">
      <c r="B29" s="366">
        <v>2009</v>
      </c>
      <c r="C29" s="697">
        <v>8.255095348074532</v>
      </c>
      <c r="D29" s="698">
        <v>10.239697017523108</v>
      </c>
      <c r="E29" s="699">
        <v>5.715580277610793</v>
      </c>
      <c r="F29" s="700">
        <v>9.856466421204773</v>
      </c>
      <c r="G29" s="701">
        <v>10.239697017523108</v>
      </c>
      <c r="H29" s="699">
        <v>6.612012139989927</v>
      </c>
      <c r="I29" s="702">
        <v>5.555962919381731</v>
      </c>
      <c r="J29" s="710"/>
      <c r="K29" s="238">
        <v>5.555962919381731</v>
      </c>
      <c r="L29" s="24"/>
      <c r="N29" s="95"/>
      <c r="O29" s="106"/>
      <c r="P29" s="106"/>
      <c r="R29" s="26"/>
    </row>
    <row r="30" spans="2:18" ht="12.75">
      <c r="B30" s="314">
        <v>2010</v>
      </c>
      <c r="C30" s="703">
        <v>8.318115440910699</v>
      </c>
      <c r="D30" s="704">
        <v>10.459527312900397</v>
      </c>
      <c r="E30" s="705">
        <v>5.612668273748845</v>
      </c>
      <c r="F30" s="706">
        <v>10.118555763056674</v>
      </c>
      <c r="G30" s="707">
        <v>10.459527312900397</v>
      </c>
      <c r="H30" s="705">
        <v>6.943416370742706</v>
      </c>
      <c r="I30" s="708">
        <v>5.40378094616865</v>
      </c>
      <c r="J30" s="709"/>
      <c r="K30" s="175">
        <v>5.40378094616865</v>
      </c>
      <c r="L30" s="24"/>
      <c r="N30" s="95"/>
      <c r="O30" s="106"/>
      <c r="P30" s="106"/>
      <c r="R30" s="26"/>
    </row>
    <row r="31" spans="2:18" ht="12.75">
      <c r="B31" s="366">
        <v>2011</v>
      </c>
      <c r="C31" s="697">
        <v>8.746644516804187</v>
      </c>
      <c r="D31" s="698">
        <v>10.87691278449266</v>
      </c>
      <c r="E31" s="699">
        <v>6.008613795899343</v>
      </c>
      <c r="F31" s="700">
        <v>10.576480735178196</v>
      </c>
      <c r="G31" s="701">
        <v>10.87691278449266</v>
      </c>
      <c r="H31" s="699">
        <v>7.691251725868593</v>
      </c>
      <c r="I31" s="702">
        <v>5.74862174110659</v>
      </c>
      <c r="J31" s="710"/>
      <c r="K31" s="238">
        <v>5.74862174110659</v>
      </c>
      <c r="L31" s="24"/>
      <c r="N31" s="95"/>
      <c r="O31" s="106"/>
      <c r="P31" s="106"/>
      <c r="R31" s="26"/>
    </row>
    <row r="32" spans="2:12" ht="13.5" thickBot="1">
      <c r="B32" s="711"/>
      <c r="C32" s="712"/>
      <c r="D32" s="713"/>
      <c r="E32" s="714"/>
      <c r="F32" s="715"/>
      <c r="G32" s="716"/>
      <c r="H32" s="714"/>
      <c r="I32" s="717"/>
      <c r="J32" s="709"/>
      <c r="K32" s="718"/>
      <c r="L32" s="24"/>
    </row>
    <row r="33" spans="2:11" ht="12.75">
      <c r="B33" s="376" t="s">
        <v>167</v>
      </c>
      <c r="C33" s="1249">
        <f aca="true" t="shared" si="0" ref="C33:I33">(C31/C30)-1</f>
        <v>0.05151756776371097</v>
      </c>
      <c r="D33" s="1246">
        <f t="shared" si="0"/>
        <v>0.0399048120537413</v>
      </c>
      <c r="E33" s="1245">
        <f t="shared" si="0"/>
        <v>0.07054497127549575</v>
      </c>
      <c r="F33" s="1248">
        <f t="shared" si="0"/>
        <v>0.04525596170487356</v>
      </c>
      <c r="G33" s="1247">
        <f t="shared" si="0"/>
        <v>0.0399048120537413</v>
      </c>
      <c r="H33" s="1246">
        <f t="shared" si="0"/>
        <v>0.10770423595465517</v>
      </c>
      <c r="I33" s="1245">
        <f t="shared" si="0"/>
        <v>0.06381472498111473</v>
      </c>
      <c r="J33" s="1244"/>
      <c r="K33" s="1243">
        <f>(K31/K30)-1</f>
        <v>0.06381472498111473</v>
      </c>
    </row>
    <row r="34" spans="2:11" ht="12.75">
      <c r="B34" s="377" t="s">
        <v>171</v>
      </c>
      <c r="C34" s="1242">
        <f aca="true" t="shared" si="1" ref="C34:I34">((C31/C26)^(1/5))-1</f>
        <v>0.029919277230421093</v>
      </c>
      <c r="D34" s="1239">
        <f t="shared" si="1"/>
        <v>0.03393302956399591</v>
      </c>
      <c r="E34" s="1238">
        <f t="shared" si="1"/>
        <v>0.015830983446216695</v>
      </c>
      <c r="F34" s="1241">
        <f t="shared" si="1"/>
        <v>0.03977313202550281</v>
      </c>
      <c r="G34" s="1240">
        <f t="shared" si="1"/>
        <v>0.03393302956399591</v>
      </c>
      <c r="H34" s="1239">
        <f t="shared" si="1"/>
        <v>0.07181634264210057</v>
      </c>
      <c r="I34" s="1238">
        <f t="shared" si="1"/>
        <v>0.005919839727045018</v>
      </c>
      <c r="J34" s="1237"/>
      <c r="K34" s="1236">
        <f>((K31/K26)^(1/5))-1</f>
        <v>0.005919839727045018</v>
      </c>
    </row>
    <row r="35" spans="2:11" ht="12.75">
      <c r="B35" s="379" t="s">
        <v>169</v>
      </c>
      <c r="C35" s="1235">
        <f aca="true" t="shared" si="2" ref="C35:I35">(C31/C20)-1</f>
        <v>0.2215930511356956</v>
      </c>
      <c r="D35" s="1234">
        <f t="shared" si="2"/>
        <v>0.23512303156801173</v>
      </c>
      <c r="E35" s="1230">
        <f t="shared" si="2"/>
        <v>0.1507857481436674</v>
      </c>
      <c r="F35" s="1233">
        <f t="shared" si="2"/>
        <v>0.3144114129143212</v>
      </c>
      <c r="G35" s="1232">
        <f t="shared" si="2"/>
        <v>0.23512303156801173</v>
      </c>
      <c r="H35" s="1231">
        <f t="shared" si="2"/>
        <v>0.4413851285880981</v>
      </c>
      <c r="I35" s="1230">
        <f t="shared" si="2"/>
        <v>0.11303956925731318</v>
      </c>
      <c r="J35" s="1222"/>
      <c r="K35" s="1229">
        <f>(K31/K20)-1</f>
        <v>0.11303956925731318</v>
      </c>
    </row>
    <row r="36" spans="2:11" ht="13.5" thickBot="1">
      <c r="B36" s="381" t="s">
        <v>170</v>
      </c>
      <c r="C36" s="1228">
        <f aca="true" t="shared" si="3" ref="C36:I36">((C31/C20)^(1/11))-1</f>
        <v>0.018362536132844554</v>
      </c>
      <c r="D36" s="1224">
        <f t="shared" si="3"/>
        <v>0.0193827794823358</v>
      </c>
      <c r="E36" s="1227">
        <f t="shared" si="3"/>
        <v>0.012849579783421383</v>
      </c>
      <c r="F36" s="1226">
        <f t="shared" si="3"/>
        <v>0.025164966728079552</v>
      </c>
      <c r="G36" s="1225">
        <f t="shared" si="3"/>
        <v>0.0193827794823358</v>
      </c>
      <c r="H36" s="1224">
        <f t="shared" si="3"/>
        <v>0.0337952891287272</v>
      </c>
      <c r="I36" s="1223">
        <f t="shared" si="3"/>
        <v>0.009783422679587428</v>
      </c>
      <c r="J36" s="1222"/>
      <c r="K36" s="1221">
        <f>((K31/K20)^(1/11))-1</f>
        <v>0.009783422679587428</v>
      </c>
    </row>
    <row r="37" spans="2:3" ht="12.75">
      <c r="B37" t="s">
        <v>173</v>
      </c>
      <c r="C37" s="1220"/>
    </row>
    <row r="38" ht="12.75">
      <c r="B38" s="34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O40" s="106"/>
      <c r="P40" s="106"/>
    </row>
    <row r="41" spans="15:16" ht="12.75">
      <c r="O41" s="106"/>
      <c r="P41" s="106"/>
    </row>
    <row r="42" spans="15:16" ht="12.75">
      <c r="O42" s="106"/>
      <c r="P42" s="106"/>
    </row>
    <row r="43" spans="15:16" ht="12.75">
      <c r="O43" s="106"/>
      <c r="P43" s="106"/>
    </row>
    <row r="44" spans="15:16" ht="12.75">
      <c r="O44" s="106"/>
      <c r="P44" s="106"/>
    </row>
    <row r="45" spans="15:16" ht="12.75">
      <c r="O45" s="106"/>
      <c r="P45" s="106"/>
    </row>
    <row r="46" spans="15:16" ht="12.75">
      <c r="O46" s="106"/>
      <c r="P46" s="106"/>
    </row>
    <row r="47" spans="15:16" ht="12.75">
      <c r="O47" s="106"/>
      <c r="P47" s="106"/>
    </row>
    <row r="48" spans="15:16" ht="12.75">
      <c r="O48" s="106"/>
      <c r="P48" s="106"/>
    </row>
    <row r="49" spans="15:16" ht="12.75">
      <c r="O49" s="106"/>
      <c r="P49" s="106"/>
    </row>
    <row r="50" spans="15:16" ht="12.75">
      <c r="O50" s="106"/>
      <c r="P50" s="106"/>
    </row>
    <row r="51" spans="15:16" ht="12.75">
      <c r="O51" s="106"/>
      <c r="P51" s="106"/>
    </row>
    <row r="52" spans="15:16" ht="12.75">
      <c r="O52" s="106"/>
      <c r="P52" s="106"/>
    </row>
    <row r="53" spans="15:16" ht="12.75">
      <c r="O53" s="106"/>
      <c r="P53" s="106"/>
    </row>
    <row r="54" spans="14:16" ht="12.75">
      <c r="N54" s="95"/>
      <c r="O54" s="106"/>
      <c r="P54" s="106"/>
    </row>
    <row r="55" spans="14:16" ht="12.75">
      <c r="N55" s="95"/>
      <c r="O55" s="106"/>
      <c r="P55" s="106"/>
    </row>
    <row r="56" spans="14:16" ht="12.75">
      <c r="N56" s="95"/>
      <c r="O56" s="106"/>
      <c r="P56" s="106"/>
    </row>
    <row r="57" spans="14:16" ht="12.75">
      <c r="N57" s="95"/>
      <c r="O57" s="106"/>
      <c r="P57" s="106"/>
    </row>
    <row r="58" spans="14:16" ht="12.75">
      <c r="N58" s="95"/>
      <c r="O58" s="106"/>
      <c r="P58" s="106"/>
    </row>
    <row r="59" spans="14:16" ht="12.75">
      <c r="N59" s="95"/>
      <c r="O59" s="106"/>
      <c r="P59" s="106"/>
    </row>
  </sheetData>
  <sheetProtection password="B728" sheet="1"/>
  <mergeCells count="4">
    <mergeCell ref="C11:E11"/>
    <mergeCell ref="B11:B12"/>
    <mergeCell ref="F11:H11"/>
    <mergeCell ref="I11:K11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82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4.00390625" style="0" customWidth="1"/>
    <col min="2" max="2" width="22.00390625" style="0" customWidth="1"/>
    <col min="3" max="3" width="18.28125" style="0" customWidth="1"/>
    <col min="11" max="11" width="13.8515625" style="0" bestFit="1" customWidth="1"/>
    <col min="12" max="12" width="15.00390625" style="0" customWidth="1"/>
  </cols>
  <sheetData>
    <row r="5" ht="18">
      <c r="A5" s="10"/>
    </row>
    <row r="6" ht="18">
      <c r="B6" s="10"/>
    </row>
    <row r="7" ht="15.75">
      <c r="B7" s="88" t="s">
        <v>45</v>
      </c>
    </row>
    <row r="8" spans="10:12" ht="12.75">
      <c r="J8" s="26"/>
      <c r="K8" s="26"/>
      <c r="L8" s="26"/>
    </row>
    <row r="9" spans="2:11" ht="12.75">
      <c r="B9" s="89" t="s">
        <v>47</v>
      </c>
      <c r="C9" s="89" t="s">
        <v>48</v>
      </c>
      <c r="J9" s="26"/>
      <c r="K9" s="26"/>
    </row>
    <row r="10" spans="2:12" ht="12.75">
      <c r="B10" s="90">
        <v>1995</v>
      </c>
      <c r="C10" s="91">
        <v>583.5441257459975</v>
      </c>
      <c r="L10" s="32"/>
    </row>
    <row r="11" spans="2:12" ht="12.75">
      <c r="B11" s="1106">
        <v>1996</v>
      </c>
      <c r="C11" s="92">
        <v>603.3411957034489</v>
      </c>
      <c r="L11" s="32"/>
    </row>
    <row r="12" spans="2:12" ht="12.75">
      <c r="B12" s="93">
        <v>1997</v>
      </c>
      <c r="C12" s="94">
        <v>625.4260513081665</v>
      </c>
      <c r="L12" s="32"/>
    </row>
    <row r="13" spans="2:12" ht="12.75">
      <c r="B13" s="1106">
        <v>1998</v>
      </c>
      <c r="C13" s="92">
        <v>645.3134715388395</v>
      </c>
      <c r="L13" s="32"/>
    </row>
    <row r="14" spans="2:12" ht="12.75">
      <c r="B14" s="93">
        <v>1999</v>
      </c>
      <c r="C14" s="94">
        <v>655.6162573254821</v>
      </c>
      <c r="L14" s="32"/>
    </row>
    <row r="15" spans="2:12" ht="12.75">
      <c r="B15" s="1106">
        <v>2000</v>
      </c>
      <c r="C15" s="92">
        <v>679.9581994283676</v>
      </c>
      <c r="L15" s="32"/>
    </row>
    <row r="16" spans="2:12" ht="12.75">
      <c r="B16" s="93">
        <v>2001</v>
      </c>
      <c r="C16" s="94">
        <v>710.9910582364704</v>
      </c>
      <c r="L16" s="32"/>
    </row>
    <row r="17" spans="2:12" ht="12.75">
      <c r="B17" s="1106">
        <v>2002</v>
      </c>
      <c r="C17" s="92">
        <v>737.4053162232518</v>
      </c>
      <c r="L17" s="32"/>
    </row>
    <row r="18" spans="2:12" ht="12.75">
      <c r="B18" s="93">
        <v>2003</v>
      </c>
      <c r="C18" s="94">
        <v>755.3069283226978</v>
      </c>
      <c r="L18" s="32"/>
    </row>
    <row r="19" spans="2:12" ht="12.75">
      <c r="B19" s="1106">
        <v>2004</v>
      </c>
      <c r="C19" s="92">
        <v>794.1826851806196</v>
      </c>
      <c r="L19" s="32"/>
    </row>
    <row r="20" spans="2:12" ht="12.75">
      <c r="B20" s="93">
        <v>2005</v>
      </c>
      <c r="C20" s="94">
        <v>805.4588206640173</v>
      </c>
      <c r="L20" s="32"/>
    </row>
    <row r="21" spans="2:12" ht="12.75">
      <c r="B21" s="1106">
        <v>2006</v>
      </c>
      <c r="C21" s="92">
        <v>854.1702850053338</v>
      </c>
      <c r="L21" s="32"/>
    </row>
    <row r="22" spans="2:12" ht="12.75">
      <c r="B22" s="93">
        <v>2007</v>
      </c>
      <c r="C22" s="94">
        <v>929.1621582653489</v>
      </c>
      <c r="I22" s="95"/>
      <c r="L22" s="32"/>
    </row>
    <row r="23" spans="2:12" ht="12.75">
      <c r="B23" s="1106">
        <v>2008</v>
      </c>
      <c r="C23" s="96">
        <v>1001.5890432524227</v>
      </c>
      <c r="L23" s="32"/>
    </row>
    <row r="24" spans="2:12" ht="12.75">
      <c r="B24" s="97">
        <v>2009</v>
      </c>
      <c r="C24" s="98">
        <v>999.2388378722745</v>
      </c>
      <c r="L24" s="32"/>
    </row>
    <row r="25" spans="2:12" ht="12.75">
      <c r="B25" s="99">
        <v>2010</v>
      </c>
      <c r="C25" s="96">
        <v>1079.3034950558063</v>
      </c>
      <c r="L25" s="32"/>
    </row>
    <row r="26" spans="2:12" ht="12.75">
      <c r="B26" s="93">
        <v>2011</v>
      </c>
      <c r="C26" s="98">
        <v>1149.4124694618326</v>
      </c>
      <c r="L26" s="32"/>
    </row>
    <row r="27" spans="2:3" ht="12.75">
      <c r="B27" s="842"/>
      <c r="C27" s="843"/>
    </row>
    <row r="28" spans="2:3" ht="12.75">
      <c r="B28" s="844" t="s">
        <v>167</v>
      </c>
      <c r="C28" s="1508">
        <v>0.06495760898319092</v>
      </c>
    </row>
    <row r="29" spans="2:3" ht="12.75">
      <c r="B29" s="845" t="s">
        <v>171</v>
      </c>
      <c r="C29" s="1509">
        <v>0.06117323844500455</v>
      </c>
    </row>
    <row r="30" spans="2:17" ht="12.75">
      <c r="B30" s="846" t="s">
        <v>169</v>
      </c>
      <c r="C30" s="1508">
        <v>0.6904163674004216</v>
      </c>
      <c r="P30" s="1510"/>
      <c r="Q30" s="101"/>
    </row>
    <row r="31" spans="2:16" ht="12.75">
      <c r="B31" s="847" t="s">
        <v>170</v>
      </c>
      <c r="C31" s="1509">
        <v>0.048882160650621787</v>
      </c>
      <c r="P31" s="1510"/>
    </row>
    <row r="32" spans="2:10" ht="12.75">
      <c r="B32" s="34"/>
      <c r="I32" s="1"/>
      <c r="J32" s="1"/>
    </row>
    <row r="33" ht="12.75">
      <c r="B33" s="34"/>
    </row>
    <row r="36" spans="2:10" ht="12.75">
      <c r="B36" s="6"/>
      <c r="C36" s="6"/>
      <c r="D36" s="6"/>
      <c r="E36" s="6"/>
      <c r="F36" s="6"/>
      <c r="G36" s="6"/>
      <c r="H36" s="6"/>
      <c r="J36" s="1"/>
    </row>
    <row r="37" ht="12.75">
      <c r="H37" s="1"/>
    </row>
    <row r="55" ht="15.75">
      <c r="B55" s="88" t="s">
        <v>49</v>
      </c>
    </row>
    <row r="56" spans="10:12" ht="12.75">
      <c r="J56" s="26"/>
      <c r="K56" s="26"/>
      <c r="L56" s="26"/>
    </row>
    <row r="57" spans="2:11" ht="12.75">
      <c r="B57" s="89" t="s">
        <v>47</v>
      </c>
      <c r="C57" s="89" t="s">
        <v>48</v>
      </c>
      <c r="J57" s="26"/>
      <c r="K57" s="26"/>
    </row>
    <row r="58" spans="2:11" ht="12.75">
      <c r="B58" s="90"/>
      <c r="C58" s="91"/>
      <c r="J58" s="26"/>
      <c r="K58" s="26"/>
    </row>
    <row r="59" spans="2:12" ht="12.75">
      <c r="B59" s="1106">
        <v>1995</v>
      </c>
      <c r="C59" s="92">
        <v>723.0603489247248</v>
      </c>
      <c r="L59" s="32"/>
    </row>
    <row r="60" spans="2:12" ht="12.75">
      <c r="B60" s="93">
        <v>1996</v>
      </c>
      <c r="C60" s="94">
        <v>728.9044855471865</v>
      </c>
      <c r="L60" s="32"/>
    </row>
    <row r="61" spans="2:12" ht="12.75">
      <c r="B61" s="1106">
        <v>1997</v>
      </c>
      <c r="C61" s="92">
        <v>745.780355034878</v>
      </c>
      <c r="L61" s="32"/>
    </row>
    <row r="62" spans="2:12" ht="12.75">
      <c r="B62" s="93">
        <v>1998</v>
      </c>
      <c r="C62" s="94">
        <v>760.1539296367229</v>
      </c>
      <c r="L62" s="32"/>
    </row>
    <row r="63" spans="2:12" ht="12.75">
      <c r="B63" s="1106">
        <v>1999</v>
      </c>
      <c r="C63" s="92">
        <v>767.3883464718007</v>
      </c>
      <c r="L63" s="32"/>
    </row>
    <row r="64" spans="2:12" ht="12.75">
      <c r="B64" s="93">
        <v>2000</v>
      </c>
      <c r="C64" s="94">
        <v>790.3319264818081</v>
      </c>
      <c r="L64" s="32"/>
    </row>
    <row r="65" spans="2:12" ht="12.75">
      <c r="B65" s="1106">
        <v>2001</v>
      </c>
      <c r="C65" s="92">
        <v>812.0055991240105</v>
      </c>
      <c r="L65" s="32"/>
    </row>
    <row r="66" spans="2:12" ht="12.75">
      <c r="B66" s="93">
        <v>2002</v>
      </c>
      <c r="C66" s="94">
        <v>845.6679480032001</v>
      </c>
      <c r="L66" s="32"/>
    </row>
    <row r="67" spans="2:12" ht="12.75">
      <c r="B67" s="99">
        <v>2003</v>
      </c>
      <c r="C67" s="92">
        <v>868.4341389318389</v>
      </c>
      <c r="L67" s="32"/>
    </row>
    <row r="68" spans="2:12" ht="12.75">
      <c r="B68" s="93">
        <v>2004</v>
      </c>
      <c r="C68" s="94">
        <v>905.3311878140721</v>
      </c>
      <c r="L68" s="32"/>
    </row>
    <row r="69" spans="2:12" ht="12.75">
      <c r="B69" s="99">
        <v>2005</v>
      </c>
      <c r="C69" s="92">
        <v>917.2686619893035</v>
      </c>
      <c r="L69" s="32"/>
    </row>
    <row r="70" spans="2:12" ht="12.75">
      <c r="B70" s="93">
        <v>2006</v>
      </c>
      <c r="C70" s="98">
        <v>972.2353744914602</v>
      </c>
      <c r="L70" s="32"/>
    </row>
    <row r="71" spans="2:12" ht="12.75">
      <c r="B71" s="1106">
        <v>2007</v>
      </c>
      <c r="C71" s="96">
        <v>1051.300864433171</v>
      </c>
      <c r="I71" s="95"/>
      <c r="L71" s="32"/>
    </row>
    <row r="72" spans="2:12" ht="12.75">
      <c r="B72" s="97">
        <v>2008</v>
      </c>
      <c r="C72" s="98">
        <v>1126.915956811104</v>
      </c>
      <c r="L72" s="32"/>
    </row>
    <row r="73" spans="2:12" ht="12.75">
      <c r="B73" s="99">
        <v>2009</v>
      </c>
      <c r="C73" s="96">
        <v>1130.8774241244505</v>
      </c>
      <c r="L73" s="32"/>
    </row>
    <row r="74" spans="2:12" ht="12.75">
      <c r="B74" s="848">
        <v>2010</v>
      </c>
      <c r="C74" s="440">
        <v>1218.793347401883</v>
      </c>
      <c r="L74" s="32"/>
    </row>
    <row r="75" spans="2:12" ht="12.75">
      <c r="B75" s="99">
        <v>2011</v>
      </c>
      <c r="C75" s="96">
        <v>1298.6738219561546</v>
      </c>
      <c r="L75" s="32"/>
    </row>
    <row r="76" spans="2:3" ht="12.75">
      <c r="B76" s="849"/>
      <c r="C76" s="850"/>
    </row>
    <row r="77" spans="2:3" ht="12.75">
      <c r="B77" s="1113" t="s">
        <v>167</v>
      </c>
      <c r="C77" s="1511">
        <v>0.06554062239062408</v>
      </c>
    </row>
    <row r="78" spans="2:4" ht="12.75">
      <c r="B78" s="391" t="s">
        <v>171</v>
      </c>
      <c r="C78" s="1512">
        <v>0.059609232069648854</v>
      </c>
      <c r="D78" s="851"/>
    </row>
    <row r="79" spans="2:3" ht="12.75">
      <c r="B79" s="100" t="s">
        <v>169</v>
      </c>
      <c r="C79" s="1511">
        <v>0.6432005065735473</v>
      </c>
    </row>
    <row r="80" spans="2:3" ht="12.75">
      <c r="B80" s="852" t="s">
        <v>170</v>
      </c>
      <c r="C80" s="1513">
        <v>0.04618438291648963</v>
      </c>
    </row>
    <row r="81" ht="12.75">
      <c r="B81" s="34"/>
    </row>
    <row r="82" ht="12.75">
      <c r="B82" s="34"/>
    </row>
  </sheetData>
  <sheetProtection password="B728" sheet="1"/>
  <printOptions/>
  <pageMargins left="0.83" right="1.11" top="0.74" bottom="1" header="0" footer="0"/>
  <pageSetup fitToHeight="1" fitToWidth="1" horizontalDpi="300" verticalDpi="300" orientation="portrait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S65"/>
  <sheetViews>
    <sheetView view="pageBreakPreview" zoomScaleSheetLayoutView="100" zoomScalePageLayoutView="0" workbookViewId="0" topLeftCell="A7">
      <selection activeCell="A7" sqref="A7"/>
    </sheetView>
  </sheetViews>
  <sheetFormatPr defaultColWidth="11.421875" defaultRowHeight="12.75"/>
  <cols>
    <col min="1" max="1" width="27.00390625" style="0" customWidth="1"/>
    <col min="2" max="2" width="15.7109375" style="0" customWidth="1"/>
    <col min="3" max="3" width="14.28125" style="0" customWidth="1"/>
    <col min="4" max="4" width="13.28125" style="0" customWidth="1"/>
    <col min="5" max="5" width="16.57421875" style="0" customWidth="1"/>
    <col min="6" max="7" width="13.28125" style="0" customWidth="1"/>
    <col min="8" max="8" width="15.421875" style="0" customWidth="1"/>
    <col min="9" max="11" width="13.57421875" style="0" customWidth="1"/>
  </cols>
  <sheetData>
    <row r="7" ht="15.75">
      <c r="A7" s="88" t="s">
        <v>141</v>
      </c>
    </row>
    <row r="8" ht="12.75">
      <c r="A8" s="34"/>
    </row>
    <row r="9" ht="13.5" thickBot="1"/>
    <row r="10" spans="1:12" ht="12.75">
      <c r="A10" s="280" t="s">
        <v>47</v>
      </c>
      <c r="B10" s="280" t="s">
        <v>64</v>
      </c>
      <c r="C10" s="1627" t="s">
        <v>113</v>
      </c>
      <c r="D10" s="1592"/>
      <c r="E10" s="1592"/>
      <c r="F10" s="1592"/>
      <c r="G10" s="1592"/>
      <c r="H10" s="1629" t="s">
        <v>118</v>
      </c>
      <c r="I10" s="1594"/>
      <c r="J10" s="1594"/>
      <c r="K10" s="1594"/>
      <c r="L10" s="1595"/>
    </row>
    <row r="11" spans="1:12" ht="13.5" thickBot="1">
      <c r="A11" s="287"/>
      <c r="B11" s="287"/>
      <c r="C11" s="620" t="s">
        <v>68</v>
      </c>
      <c r="D11" s="621" t="s">
        <v>114</v>
      </c>
      <c r="E11" s="622" t="s">
        <v>115</v>
      </c>
      <c r="F11" s="210" t="s">
        <v>116</v>
      </c>
      <c r="G11" s="622" t="s">
        <v>117</v>
      </c>
      <c r="H11" s="620" t="s">
        <v>68</v>
      </c>
      <c r="I11" s="210" t="s">
        <v>114</v>
      </c>
      <c r="J11" s="622" t="s">
        <v>115</v>
      </c>
      <c r="K11" s="210" t="s">
        <v>116</v>
      </c>
      <c r="L11" s="623" t="s">
        <v>117</v>
      </c>
    </row>
    <row r="12" spans="1:12" ht="12.75">
      <c r="A12" s="353"/>
      <c r="B12" s="353"/>
      <c r="C12" s="165"/>
      <c r="D12" s="425"/>
      <c r="E12" s="251"/>
      <c r="F12" s="169"/>
      <c r="G12" s="251"/>
      <c r="H12" s="165"/>
      <c r="I12" s="169"/>
      <c r="J12" s="251"/>
      <c r="K12" s="169"/>
      <c r="L12" s="170"/>
    </row>
    <row r="13" spans="1:12" ht="12.75">
      <c r="A13" s="235">
        <v>1995</v>
      </c>
      <c r="B13" s="697">
        <v>8.955560685264611</v>
      </c>
      <c r="C13" s="723">
        <v>5.535737559334477</v>
      </c>
      <c r="D13" s="724">
        <v>4.62707027275972</v>
      </c>
      <c r="E13" s="699">
        <v>4.687771428434358</v>
      </c>
      <c r="F13" s="698">
        <v>6.559699395139925</v>
      </c>
      <c r="G13" s="699">
        <v>9.325032513097996</v>
      </c>
      <c r="H13" s="723">
        <v>10.148610371781364</v>
      </c>
      <c r="I13" s="698"/>
      <c r="J13" s="699">
        <v>6.4773300247466405</v>
      </c>
      <c r="K13" s="698">
        <v>6.774638621284152</v>
      </c>
      <c r="L13" s="238">
        <v>11.094748694693795</v>
      </c>
    </row>
    <row r="14" spans="1:12" ht="12.75">
      <c r="A14" s="240">
        <v>1996</v>
      </c>
      <c r="B14" s="703">
        <v>9.377457321378525</v>
      </c>
      <c r="C14" s="725">
        <v>5.959296987167691</v>
      </c>
      <c r="D14" s="726">
        <v>5.095261460912047</v>
      </c>
      <c r="E14" s="705">
        <v>5.019434922474799</v>
      </c>
      <c r="F14" s="704">
        <v>6.719585232164022</v>
      </c>
      <c r="G14" s="705">
        <v>13.310775213425378</v>
      </c>
      <c r="H14" s="725">
        <v>10.37984664865154</v>
      </c>
      <c r="I14" s="704"/>
      <c r="J14" s="705">
        <v>6.925975426109167</v>
      </c>
      <c r="K14" s="704">
        <v>6.787409647425262</v>
      </c>
      <c r="L14" s="175">
        <v>11.459985818391555</v>
      </c>
    </row>
    <row r="15" spans="1:12" ht="12.75">
      <c r="A15" s="235">
        <v>1997</v>
      </c>
      <c r="B15" s="697">
        <v>9.163588512282493</v>
      </c>
      <c r="C15" s="723">
        <v>5.726537264889491</v>
      </c>
      <c r="D15" s="724">
        <v>5.217563381748709</v>
      </c>
      <c r="E15" s="699">
        <v>4.781396925324218</v>
      </c>
      <c r="F15" s="698">
        <v>6.325146318467157</v>
      </c>
      <c r="G15" s="699">
        <v>13.982240433035207</v>
      </c>
      <c r="H15" s="723">
        <v>10.146978053246057</v>
      </c>
      <c r="I15" s="698"/>
      <c r="J15" s="699">
        <v>7.412700329241102</v>
      </c>
      <c r="K15" s="698">
        <v>6.641798005340087</v>
      </c>
      <c r="L15" s="238">
        <v>11.268006688408454</v>
      </c>
    </row>
    <row r="16" spans="1:12" ht="12.75">
      <c r="A16" s="240">
        <v>1998</v>
      </c>
      <c r="B16" s="703">
        <v>7.957160935688618</v>
      </c>
      <c r="C16" s="725">
        <v>5.048646397780676</v>
      </c>
      <c r="D16" s="726">
        <v>4.952473120116155</v>
      </c>
      <c r="E16" s="705">
        <v>4.192952654328083</v>
      </c>
      <c r="F16" s="704">
        <v>5.578968903835431</v>
      </c>
      <c r="G16" s="705" t="s">
        <v>140</v>
      </c>
      <c r="H16" s="725">
        <v>8.753240333635766</v>
      </c>
      <c r="I16" s="704"/>
      <c r="J16" s="705">
        <v>6.862865749641129</v>
      </c>
      <c r="K16" s="704">
        <v>5.590646518821954</v>
      </c>
      <c r="L16" s="175">
        <v>9.791648173278565</v>
      </c>
    </row>
    <row r="17" spans="1:12" ht="12.75">
      <c r="A17" s="235">
        <v>1999</v>
      </c>
      <c r="B17" s="697">
        <v>7.632021028288909</v>
      </c>
      <c r="C17" s="723">
        <v>5.071850676679181</v>
      </c>
      <c r="D17" s="724">
        <v>5.0590992191879645</v>
      </c>
      <c r="E17" s="699">
        <v>4.35436667180123</v>
      </c>
      <c r="F17" s="698">
        <v>5.4318415703065845</v>
      </c>
      <c r="G17" s="699" t="s">
        <v>140</v>
      </c>
      <c r="H17" s="723">
        <v>8.306642636464446</v>
      </c>
      <c r="I17" s="698"/>
      <c r="J17" s="699">
        <v>5.303730382803161</v>
      </c>
      <c r="K17" s="698">
        <v>5.406877904987671</v>
      </c>
      <c r="L17" s="238">
        <v>9.324041473489109</v>
      </c>
    </row>
    <row r="18" spans="1:12" ht="12.75">
      <c r="A18" s="240">
        <v>2000</v>
      </c>
      <c r="B18" s="703">
        <v>8.0465527241033</v>
      </c>
      <c r="C18" s="725">
        <v>5.3360143471179855</v>
      </c>
      <c r="D18" s="726">
        <v>5.0809189038026314</v>
      </c>
      <c r="E18" s="705">
        <v>4.607673076768701</v>
      </c>
      <c r="F18" s="704">
        <v>5.785277301319532</v>
      </c>
      <c r="G18" s="705" t="s">
        <v>140</v>
      </c>
      <c r="H18" s="725">
        <v>8.806339535814676</v>
      </c>
      <c r="I18" s="704"/>
      <c r="J18" s="705">
        <v>6.033937817613789</v>
      </c>
      <c r="K18" s="704">
        <v>5.869418461726808</v>
      </c>
      <c r="L18" s="175">
        <v>9.896397464954475</v>
      </c>
    </row>
    <row r="19" spans="1:12" ht="12.75">
      <c r="A19" s="235">
        <v>2001</v>
      </c>
      <c r="B19" s="697">
        <v>8.198076063917068</v>
      </c>
      <c r="C19" s="723">
        <v>5.431810353536078</v>
      </c>
      <c r="D19" s="724">
        <v>4.881960368818168</v>
      </c>
      <c r="E19" s="699">
        <v>4.9005055003750675</v>
      </c>
      <c r="F19" s="698">
        <v>5.657224701815554</v>
      </c>
      <c r="G19" s="699" t="s">
        <v>140</v>
      </c>
      <c r="H19" s="723">
        <v>8.794973611182401</v>
      </c>
      <c r="I19" s="698"/>
      <c r="J19" s="699">
        <v>5.999682383873379</v>
      </c>
      <c r="K19" s="698">
        <v>5.896141692906946</v>
      </c>
      <c r="L19" s="238">
        <v>9.921983612094484</v>
      </c>
    </row>
    <row r="20" spans="1:12" ht="12.75">
      <c r="A20" s="240">
        <v>2002</v>
      </c>
      <c r="B20" s="703">
        <v>7.758352080828165</v>
      </c>
      <c r="C20" s="725">
        <v>5.163988884999389</v>
      </c>
      <c r="D20" s="726">
        <v>4.2290059446768895</v>
      </c>
      <c r="E20" s="705">
        <v>4.735760100828628</v>
      </c>
      <c r="F20" s="704">
        <v>5.345999993631047</v>
      </c>
      <c r="G20" s="705" t="s">
        <v>140</v>
      </c>
      <c r="H20" s="725">
        <v>8.290526011852268</v>
      </c>
      <c r="I20" s="704"/>
      <c r="J20" s="705">
        <v>5.467489307439313</v>
      </c>
      <c r="K20" s="704">
        <v>5.751516095071567</v>
      </c>
      <c r="L20" s="175">
        <v>9.312851732143496</v>
      </c>
    </row>
    <row r="21" spans="1:12" ht="12.75">
      <c r="A21" s="235">
        <v>2003</v>
      </c>
      <c r="B21" s="697">
        <v>7.971753161907678</v>
      </c>
      <c r="C21" s="723">
        <v>5.315913767730283</v>
      </c>
      <c r="D21" s="724">
        <v>4.19897776369089</v>
      </c>
      <c r="E21" s="699">
        <v>5.003067182493837</v>
      </c>
      <c r="F21" s="698">
        <v>5.47502912467971</v>
      </c>
      <c r="G21" s="699" t="s">
        <v>140</v>
      </c>
      <c r="H21" s="723">
        <v>8.439546821933085</v>
      </c>
      <c r="I21" s="698"/>
      <c r="J21" s="699">
        <v>5.095727922524168</v>
      </c>
      <c r="K21" s="698">
        <v>5.824167951908816</v>
      </c>
      <c r="L21" s="238">
        <v>9.525732890023999</v>
      </c>
    </row>
    <row r="22" spans="1:12" ht="12.75">
      <c r="A22" s="240">
        <v>2004</v>
      </c>
      <c r="B22" s="703">
        <v>8.22302317700895</v>
      </c>
      <c r="C22" s="725">
        <v>5.3901465775055355</v>
      </c>
      <c r="D22" s="726">
        <v>4.165227966614135</v>
      </c>
      <c r="E22" s="705">
        <v>6.001824460891256</v>
      </c>
      <c r="F22" s="704">
        <v>5.364434922105819</v>
      </c>
      <c r="G22" s="705"/>
      <c r="H22" s="725">
        <v>8.674201605419087</v>
      </c>
      <c r="I22" s="704"/>
      <c r="J22" s="705">
        <v>5.71207447870145</v>
      </c>
      <c r="K22" s="704">
        <v>5.896716701575668</v>
      </c>
      <c r="L22" s="175">
        <v>9.883276436946788</v>
      </c>
    </row>
    <row r="23" spans="1:12" ht="12.75">
      <c r="A23" s="235">
        <v>2005</v>
      </c>
      <c r="B23" s="697">
        <v>8.888491459581944</v>
      </c>
      <c r="C23" s="723">
        <v>5.650701414642656</v>
      </c>
      <c r="D23" s="724">
        <v>4.658591804559572</v>
      </c>
      <c r="E23" s="699">
        <v>4.698268881001574</v>
      </c>
      <c r="F23" s="698">
        <v>5.963789775883832</v>
      </c>
      <c r="G23" s="699"/>
      <c r="H23" s="723">
        <v>9.400777808861907</v>
      </c>
      <c r="I23" s="698"/>
      <c r="J23" s="699">
        <v>6.062346568093032</v>
      </c>
      <c r="K23" s="698">
        <v>6.510005218958819</v>
      </c>
      <c r="L23" s="238">
        <v>10.739111938044747</v>
      </c>
    </row>
    <row r="24" spans="1:12" ht="12.75">
      <c r="A24" s="240">
        <v>2006</v>
      </c>
      <c r="B24" s="703">
        <v>8.702584077848925</v>
      </c>
      <c r="C24" s="725">
        <v>5.43744844190284</v>
      </c>
      <c r="D24" s="726">
        <v>4.424927397068233</v>
      </c>
      <c r="E24" s="705">
        <v>4.5290999128325256</v>
      </c>
      <c r="F24" s="704">
        <v>5.739337522505335</v>
      </c>
      <c r="G24" s="705"/>
      <c r="H24" s="725">
        <v>9.20541981902347</v>
      </c>
      <c r="I24" s="704"/>
      <c r="J24" s="705">
        <v>5.510472306894139</v>
      </c>
      <c r="K24" s="704">
        <v>6.20691668612058</v>
      </c>
      <c r="L24" s="175">
        <v>10.66949715017019</v>
      </c>
    </row>
    <row r="25" spans="1:12" ht="12.75">
      <c r="A25" s="235">
        <v>2007</v>
      </c>
      <c r="B25" s="697">
        <v>8.684354506431966</v>
      </c>
      <c r="C25" s="723">
        <v>5.4423840053332935</v>
      </c>
      <c r="D25" s="724">
        <v>4.636721220218863</v>
      </c>
      <c r="E25" s="699">
        <v>4.670614661670056</v>
      </c>
      <c r="F25" s="698">
        <v>5.603677664058141</v>
      </c>
      <c r="G25" s="699"/>
      <c r="H25" s="723">
        <v>9.093906057369018</v>
      </c>
      <c r="I25" s="698"/>
      <c r="J25" s="699">
        <v>5.491874308515515</v>
      </c>
      <c r="K25" s="698">
        <v>6.079597772841665</v>
      </c>
      <c r="L25" s="238">
        <v>10.655182675290998</v>
      </c>
    </row>
    <row r="26" spans="1:12" ht="12.75">
      <c r="A26" s="240">
        <v>2008</v>
      </c>
      <c r="B26" s="703">
        <v>9.210201127006314</v>
      </c>
      <c r="C26" s="725">
        <v>6.228330130971453</v>
      </c>
      <c r="D26" s="726">
        <v>4.980345638726574</v>
      </c>
      <c r="E26" s="705">
        <v>5.745573288587403</v>
      </c>
      <c r="F26" s="704">
        <v>6.376857276918001</v>
      </c>
      <c r="G26" s="705"/>
      <c r="H26" s="725">
        <v>9.563809357904866</v>
      </c>
      <c r="I26" s="704"/>
      <c r="J26" s="705">
        <v>5.693858987044723</v>
      </c>
      <c r="K26" s="704">
        <v>6.394753500270336</v>
      </c>
      <c r="L26" s="175">
        <v>11.251552199286078</v>
      </c>
    </row>
    <row r="27" spans="1:12" ht="12.75">
      <c r="A27" s="235">
        <v>2009</v>
      </c>
      <c r="B27" s="697">
        <v>9.834767034288422</v>
      </c>
      <c r="C27" s="723">
        <v>6.573199512560988</v>
      </c>
      <c r="D27" s="724">
        <v>5.098197347581045</v>
      </c>
      <c r="E27" s="699">
        <v>6.3349850033512976</v>
      </c>
      <c r="F27" s="698">
        <v>6.726502242565554</v>
      </c>
      <c r="G27" s="699"/>
      <c r="H27" s="723">
        <v>10.220209425572106</v>
      </c>
      <c r="I27" s="698"/>
      <c r="J27" s="699">
        <v>6.609718355022561</v>
      </c>
      <c r="K27" s="698">
        <v>7.071721135293082</v>
      </c>
      <c r="L27" s="238">
        <v>11.908620129242951</v>
      </c>
    </row>
    <row r="28" spans="1:12" ht="12.75">
      <c r="A28" s="320">
        <v>2010</v>
      </c>
      <c r="B28" s="732">
        <v>10.118555763056673</v>
      </c>
      <c r="C28" s="733">
        <v>6.943416370742706</v>
      </c>
      <c r="D28" s="734">
        <v>5.077408052058348</v>
      </c>
      <c r="E28" s="735">
        <v>6.364136868613487</v>
      </c>
      <c r="F28" s="736">
        <v>7.044974655336844</v>
      </c>
      <c r="G28" s="735"/>
      <c r="H28" s="733">
        <v>10.459527312900395</v>
      </c>
      <c r="I28" s="736"/>
      <c r="J28" s="735">
        <v>6.503562773938709</v>
      </c>
      <c r="K28" s="736">
        <v>7.283715292554487</v>
      </c>
      <c r="L28" s="737">
        <v>12.241201148622203</v>
      </c>
    </row>
    <row r="29" spans="1:12" ht="12.75" customHeight="1">
      <c r="A29" s="235">
        <v>2011</v>
      </c>
      <c r="B29" s="697">
        <v>10.576480735178196</v>
      </c>
      <c r="C29" s="723">
        <v>7.691251725868593</v>
      </c>
      <c r="D29" s="724">
        <v>6.44779191936578</v>
      </c>
      <c r="E29" s="699">
        <v>6.913862858456776</v>
      </c>
      <c r="F29" s="698">
        <v>7.851913630429609</v>
      </c>
      <c r="G29" s="699"/>
      <c r="H29" s="723">
        <v>10.87691278449266</v>
      </c>
      <c r="I29" s="698"/>
      <c r="J29" s="699">
        <v>6.656357678648191</v>
      </c>
      <c r="K29" s="698">
        <v>7.661273118534473</v>
      </c>
      <c r="L29" s="238">
        <v>12.787411229030523</v>
      </c>
    </row>
    <row r="30" spans="1:12" ht="21" customHeight="1" thickBot="1">
      <c r="A30" s="250"/>
      <c r="B30" s="1068"/>
      <c r="C30" s="1069"/>
      <c r="D30" s="1070"/>
      <c r="E30" s="1071"/>
      <c r="F30" s="1072"/>
      <c r="G30" s="1071"/>
      <c r="H30" s="1069"/>
      <c r="I30" s="1072"/>
      <c r="J30" s="1071"/>
      <c r="K30" s="1072"/>
      <c r="L30" s="1073"/>
    </row>
    <row r="31" spans="1:12" ht="21" customHeight="1">
      <c r="A31" s="523" t="s">
        <v>167</v>
      </c>
      <c r="B31" s="1000">
        <f>(B29/B28)-1</f>
        <v>0.04525596170487378</v>
      </c>
      <c r="C31" s="1074">
        <f>(C29/C28)-1</f>
        <v>0.10770423595465517</v>
      </c>
      <c r="D31" s="1075">
        <f>(D29/D28)-1</f>
        <v>0.26989831292993816</v>
      </c>
      <c r="E31" s="1076">
        <f>(E29/E28)-1</f>
        <v>0.08637871893585691</v>
      </c>
      <c r="F31" s="1077">
        <f>(F29/F28)-1</f>
        <v>0.11454107567036842</v>
      </c>
      <c r="G31" s="1078"/>
      <c r="H31" s="1079">
        <f>(H29/H28)-1</f>
        <v>0.0399048120537413</v>
      </c>
      <c r="I31" s="1080"/>
      <c r="J31" s="1076">
        <f>(J29/J28)-1</f>
        <v>0.02349403089054003</v>
      </c>
      <c r="K31" s="1077">
        <f>(K29/K28)-1</f>
        <v>0.051835884684555245</v>
      </c>
      <c r="L31" s="1081">
        <f>(L29/L28)-1</f>
        <v>0.04462062781067844</v>
      </c>
    </row>
    <row r="32" spans="1:12" ht="21" customHeight="1">
      <c r="A32" s="1082" t="s">
        <v>171</v>
      </c>
      <c r="B32" s="1004">
        <f>((B29/B24)^(1/5))-1</f>
        <v>0.03977313202550281</v>
      </c>
      <c r="C32" s="415">
        <f>((C29/C24)^(1/5))-1</f>
        <v>0.07181634264210057</v>
      </c>
      <c r="D32" s="1083">
        <f>((D29/D24)^(1/5))-1</f>
        <v>0.07820408488780761</v>
      </c>
      <c r="E32" s="1084">
        <f>((E29/E24)^(1/5))-1</f>
        <v>0.08828281639002866</v>
      </c>
      <c r="F32" s="1085">
        <f>((F29/F24)^(1/5))-1</f>
        <v>0.06468895709490341</v>
      </c>
      <c r="G32" s="204"/>
      <c r="H32" s="1086">
        <f>((H29/H24)^(1/5))-1</f>
        <v>0.03393302956399591</v>
      </c>
      <c r="I32" s="1087"/>
      <c r="J32" s="499">
        <f>((J29/J24)^(1/5))-1</f>
        <v>0.03850732779853172</v>
      </c>
      <c r="K32" s="1088">
        <f>((K29/K24)^(1/5))-1</f>
        <v>0.043001674754711505</v>
      </c>
      <c r="L32" s="327">
        <f>((L29/L24)^(1/5))-1</f>
        <v>0.03687818169119317</v>
      </c>
    </row>
    <row r="33" spans="1:12" ht="21" customHeight="1">
      <c r="A33" s="952" t="s">
        <v>169</v>
      </c>
      <c r="B33" s="720">
        <f>(B29/B18)-1</f>
        <v>0.31441141291432073</v>
      </c>
      <c r="C33" s="1089">
        <f>(C29/C18)-1</f>
        <v>0.44138512858809786</v>
      </c>
      <c r="D33" s="1090">
        <f>(D29/D18)-1</f>
        <v>0.2690208289961411</v>
      </c>
      <c r="E33" s="1091">
        <f>(E29/E18)-1</f>
        <v>0.5005107227150272</v>
      </c>
      <c r="F33" s="1091">
        <f>(F29/F18)-1</f>
        <v>0.35722338298956036</v>
      </c>
      <c r="G33" s="204"/>
      <c r="H33" s="202">
        <f>(H29/H18)-1</f>
        <v>0.23512303156801173</v>
      </c>
      <c r="I33" s="1087"/>
      <c r="J33" s="501">
        <f>(J29/J18)-1</f>
        <v>0.10315317788285516</v>
      </c>
      <c r="K33" s="501">
        <f>(K29/K18)-1</f>
        <v>0.3052865745545248</v>
      </c>
      <c r="L33" s="608">
        <f>(L29/L18)-1</f>
        <v>0.29212789546032525</v>
      </c>
    </row>
    <row r="34" spans="1:12" ht="13.5" thickBot="1">
      <c r="A34" s="1092" t="s">
        <v>170</v>
      </c>
      <c r="B34" s="721">
        <f>((B29/B18)^(1/11))-1</f>
        <v>0.025164966728079552</v>
      </c>
      <c r="C34" s="722">
        <f>((C29/C18)^(1/11))-1</f>
        <v>0.03379528912872698</v>
      </c>
      <c r="D34" s="502">
        <f>((D29/D18)^(1/11))-1</f>
        <v>0.021894943122692467</v>
      </c>
      <c r="E34" s="937">
        <f>((E29/E18)^(1/11))-1</f>
        <v>0.03758034594301707</v>
      </c>
      <c r="F34" s="503">
        <f>((F29/F18)^(1/11))-1</f>
        <v>0.028156468391098644</v>
      </c>
      <c r="G34" s="1093"/>
      <c r="H34" s="205">
        <f>((H29/H18)^(1/11))-1</f>
        <v>0.0193827794823358</v>
      </c>
      <c r="I34" s="1094"/>
      <c r="J34" s="937">
        <f>((J29/J18)^(1/11))-1</f>
        <v>0.008964726840353432</v>
      </c>
      <c r="K34" s="503">
        <f>((K29/K18)^(1/11))-1</f>
        <v>0.024515930014878062</v>
      </c>
      <c r="L34" s="1095">
        <f>((L29/L18)^(1/11))-1</f>
        <v>0.023572671400290623</v>
      </c>
    </row>
    <row r="35" ht="12.75">
      <c r="A35" t="s">
        <v>173</v>
      </c>
    </row>
    <row r="37" ht="15.75">
      <c r="A37" s="88" t="s">
        <v>142</v>
      </c>
    </row>
    <row r="38" ht="12.75">
      <c r="A38" s="34"/>
    </row>
    <row r="39" ht="13.5" thickBot="1">
      <c r="H39" s="105"/>
    </row>
    <row r="40" spans="1:8" ht="12.75">
      <c r="A40" s="280" t="s">
        <v>47</v>
      </c>
      <c r="B40" s="229" t="s">
        <v>64</v>
      </c>
      <c r="C40" s="1627" t="s">
        <v>113</v>
      </c>
      <c r="D40" s="1592"/>
      <c r="E40" s="1592"/>
      <c r="F40" s="1628"/>
      <c r="H40" s="105"/>
    </row>
    <row r="41" spans="1:9" ht="13.5" thickBot="1">
      <c r="A41" s="287"/>
      <c r="B41" s="231"/>
      <c r="C41" s="620" t="s">
        <v>114</v>
      </c>
      <c r="D41" s="622" t="s">
        <v>115</v>
      </c>
      <c r="E41" s="210" t="s">
        <v>116</v>
      </c>
      <c r="F41" s="623" t="s">
        <v>117</v>
      </c>
      <c r="H41" s="105"/>
      <c r="I41" s="208"/>
    </row>
    <row r="42" spans="1:8" ht="12.75">
      <c r="A42" s="164"/>
      <c r="B42" s="233"/>
      <c r="C42" s="197"/>
      <c r="D42" s="252"/>
      <c r="E42" s="166"/>
      <c r="F42" s="455"/>
      <c r="H42" s="105"/>
    </row>
    <row r="43" spans="1:8" ht="12.75">
      <c r="A43" s="177">
        <v>1995</v>
      </c>
      <c r="B43" s="727">
        <v>4.2445573090579085</v>
      </c>
      <c r="C43" s="701">
        <v>2.6254026539122854</v>
      </c>
      <c r="D43" s="699">
        <v>4.1124728445652465</v>
      </c>
      <c r="E43" s="698">
        <v>5.235286303210713</v>
      </c>
      <c r="F43" s="238">
        <v>12.259609384109694</v>
      </c>
      <c r="H43" s="105"/>
    </row>
    <row r="44" spans="1:8" ht="12.75">
      <c r="A44" s="240">
        <v>1996</v>
      </c>
      <c r="B44" s="728">
        <v>4.5448535324028105</v>
      </c>
      <c r="C44" s="707">
        <v>3.776872757280466</v>
      </c>
      <c r="D44" s="705">
        <v>4.574109122580111</v>
      </c>
      <c r="E44" s="704">
        <v>5.66862508459486</v>
      </c>
      <c r="F44" s="175">
        <v>13.88102659405656</v>
      </c>
      <c r="H44" s="105"/>
    </row>
    <row r="45" spans="1:9" ht="12.75">
      <c r="A45" s="235">
        <v>1997</v>
      </c>
      <c r="B45" s="727">
        <v>5.212117520815096</v>
      </c>
      <c r="C45" s="701">
        <v>5.935296472005517</v>
      </c>
      <c r="D45" s="699">
        <v>3.295509423342014</v>
      </c>
      <c r="E45" s="698">
        <v>5.5194898315321606</v>
      </c>
      <c r="F45" s="238">
        <v>14.760000153121288</v>
      </c>
      <c r="H45" s="105"/>
      <c r="I45" s="208"/>
    </row>
    <row r="46" spans="1:8" ht="12.75">
      <c r="A46" s="240">
        <v>1998</v>
      </c>
      <c r="B46" s="728">
        <v>4.8931747664703975</v>
      </c>
      <c r="C46" s="707">
        <v>5.197759403402463</v>
      </c>
      <c r="D46" s="705">
        <v>4.360861696640618</v>
      </c>
      <c r="E46" s="704">
        <v>4.854528498840341</v>
      </c>
      <c r="F46" s="175">
        <v>16.277139183782836</v>
      </c>
      <c r="H46" s="105"/>
    </row>
    <row r="47" spans="1:8" ht="12.75">
      <c r="A47" s="235">
        <v>1999</v>
      </c>
      <c r="B47" s="727">
        <v>4.861602607536183</v>
      </c>
      <c r="C47" s="701">
        <v>5.330375054625479</v>
      </c>
      <c r="D47" s="699">
        <v>4.481512451630983</v>
      </c>
      <c r="E47" s="698">
        <v>4.267182650688981</v>
      </c>
      <c r="F47" s="238" t="s">
        <v>140</v>
      </c>
      <c r="H47" s="105"/>
    </row>
    <row r="48" spans="1:8" ht="12.75">
      <c r="A48" s="240">
        <v>2000</v>
      </c>
      <c r="B48" s="728">
        <v>5.164795484263344</v>
      </c>
      <c r="C48" s="707">
        <v>5.6804671173079235</v>
      </c>
      <c r="D48" s="705">
        <v>4.7370595289108275</v>
      </c>
      <c r="E48" s="704">
        <v>4.620091416157332</v>
      </c>
      <c r="F48" s="175" t="s">
        <v>140</v>
      </c>
      <c r="H48" s="105"/>
    </row>
    <row r="49" spans="1:8" ht="12.75">
      <c r="A49" s="235">
        <v>2001</v>
      </c>
      <c r="B49" s="727">
        <v>4.531755939031402</v>
      </c>
      <c r="C49" s="701">
        <v>4.788126622998311</v>
      </c>
      <c r="D49" s="699">
        <v>4.233088120649349</v>
      </c>
      <c r="E49" s="698">
        <v>4.223481856436556</v>
      </c>
      <c r="F49" s="238" t="s">
        <v>140</v>
      </c>
      <c r="H49" s="105"/>
    </row>
    <row r="50" spans="1:8" ht="12.75">
      <c r="A50" s="240">
        <v>2002</v>
      </c>
      <c r="B50" s="728">
        <v>4.541729686255704</v>
      </c>
      <c r="C50" s="707">
        <v>4.778920958518578</v>
      </c>
      <c r="D50" s="705">
        <v>4.098250821429357</v>
      </c>
      <c r="E50" s="704">
        <v>4.1599420718219955</v>
      </c>
      <c r="F50" s="175" t="s">
        <v>140</v>
      </c>
      <c r="H50" s="105"/>
    </row>
    <row r="51" spans="1:15" ht="12.75">
      <c r="A51" s="235">
        <v>2003</v>
      </c>
      <c r="B51" s="727">
        <v>4.470113199324197</v>
      </c>
      <c r="C51" s="701">
        <v>4.666276695630975</v>
      </c>
      <c r="D51" s="699">
        <v>4.040412748083277</v>
      </c>
      <c r="E51" s="698">
        <v>4.197390535365441</v>
      </c>
      <c r="F51" s="238" t="s">
        <v>140</v>
      </c>
      <c r="O51" s="105"/>
    </row>
    <row r="52" spans="1:15" ht="12.75">
      <c r="A52" s="240">
        <v>2004</v>
      </c>
      <c r="B52" s="728">
        <v>5.176227190061146</v>
      </c>
      <c r="C52" s="707">
        <v>5.721251733723036</v>
      </c>
      <c r="D52" s="705">
        <v>3.942494830648979</v>
      </c>
      <c r="E52" s="704">
        <v>4.796285615213229</v>
      </c>
      <c r="F52" s="175"/>
      <c r="O52" s="105"/>
    </row>
    <row r="53" spans="1:15" ht="12.75">
      <c r="A53" s="235">
        <v>2005</v>
      </c>
      <c r="B53" s="727">
        <v>5.541607608090972</v>
      </c>
      <c r="C53" s="701">
        <v>5.948328322189003</v>
      </c>
      <c r="D53" s="699">
        <v>4.171969670422919</v>
      </c>
      <c r="E53" s="698">
        <v>5.643015611369327</v>
      </c>
      <c r="F53" s="238"/>
      <c r="O53" s="105"/>
    </row>
    <row r="54" spans="1:15" ht="12.75">
      <c r="A54" s="240">
        <v>2006</v>
      </c>
      <c r="B54" s="728">
        <v>5.581447756240201</v>
      </c>
      <c r="C54" s="707">
        <v>5.8805100803549655</v>
      </c>
      <c r="D54" s="705">
        <v>4.500571409588599</v>
      </c>
      <c r="E54" s="704">
        <v>5.743825608731847</v>
      </c>
      <c r="F54" s="175"/>
      <c r="O54" s="105"/>
    </row>
    <row r="55" spans="1:19" ht="12.75">
      <c r="A55" s="235">
        <v>2007</v>
      </c>
      <c r="B55" s="727">
        <v>5.420095140533965</v>
      </c>
      <c r="C55" s="701">
        <v>5.810893864789758</v>
      </c>
      <c r="D55" s="699">
        <v>4.37283833149356</v>
      </c>
      <c r="E55" s="698">
        <v>5.0741491324005645</v>
      </c>
      <c r="F55" s="238"/>
      <c r="O55" s="105"/>
      <c r="P55" s="729"/>
      <c r="Q55" s="729"/>
      <c r="R55" s="729"/>
      <c r="S55" s="729"/>
    </row>
    <row r="56" spans="1:19" ht="12.75">
      <c r="A56" s="240">
        <v>2008</v>
      </c>
      <c r="B56" s="728">
        <v>6.703677483775019</v>
      </c>
      <c r="C56" s="707">
        <v>6.9485352671160685</v>
      </c>
      <c r="D56" s="705">
        <v>5.857790741444989</v>
      </c>
      <c r="E56" s="704">
        <v>6.6411157523875675</v>
      </c>
      <c r="F56" s="175"/>
      <c r="O56" s="105"/>
      <c r="P56" s="729"/>
      <c r="Q56" s="729"/>
      <c r="R56" s="729"/>
      <c r="S56" s="729"/>
    </row>
    <row r="57" spans="1:19" ht="12.75">
      <c r="A57" s="235">
        <v>2009</v>
      </c>
      <c r="B57" s="727">
        <v>5.653760327009893</v>
      </c>
      <c r="C57" s="701">
        <v>5.617356963788676</v>
      </c>
      <c r="D57" s="699">
        <v>5.493114067927699</v>
      </c>
      <c r="E57" s="698">
        <v>5.936836681880559</v>
      </c>
      <c r="F57" s="238"/>
      <c r="O57" s="105"/>
      <c r="P57" s="729"/>
      <c r="Q57" s="729"/>
      <c r="R57" s="729"/>
      <c r="S57" s="729"/>
    </row>
    <row r="58" spans="1:19" ht="12.75">
      <c r="A58" s="240">
        <v>2010</v>
      </c>
      <c r="B58" s="728">
        <v>5.403780946168652</v>
      </c>
      <c r="C58" s="707">
        <v>5.288825109934949</v>
      </c>
      <c r="D58" s="705">
        <v>5.827360181143731</v>
      </c>
      <c r="E58" s="704">
        <v>5.639009013480945</v>
      </c>
      <c r="F58" s="175"/>
      <c r="O58" s="105"/>
      <c r="P58" s="729"/>
      <c r="Q58" s="729"/>
      <c r="R58" s="729"/>
      <c r="S58" s="729"/>
    </row>
    <row r="59" spans="1:8" ht="12.75" customHeight="1">
      <c r="A59" s="235">
        <v>2011</v>
      </c>
      <c r="B59" s="727">
        <v>5.74862174110659</v>
      </c>
      <c r="C59" s="701">
        <v>5.73069749208521</v>
      </c>
      <c r="D59" s="699">
        <v>5.719542181910733</v>
      </c>
      <c r="E59" s="698">
        <v>5.834844813728762</v>
      </c>
      <c r="F59" s="238"/>
      <c r="H59" s="105"/>
    </row>
    <row r="60" spans="1:6" ht="21" customHeight="1" thickBot="1">
      <c r="A60" s="250"/>
      <c r="B60" s="1096"/>
      <c r="C60" s="716"/>
      <c r="D60" s="1071"/>
      <c r="E60" s="1072"/>
      <c r="F60" s="1073"/>
    </row>
    <row r="61" spans="1:6" ht="21" customHeight="1">
      <c r="A61" s="523" t="s">
        <v>167</v>
      </c>
      <c r="B61" s="1054">
        <f>(B59/B58)-1</f>
        <v>0.06381472498111429</v>
      </c>
      <c r="C61" s="1097">
        <f>(C59/C58)-1</f>
        <v>0.08354830665892377</v>
      </c>
      <c r="D61" s="1077">
        <f>(D59/D58)-1</f>
        <v>-0.018502031088086346</v>
      </c>
      <c r="E61" s="1075">
        <f>(E59/E58)-1</f>
        <v>0.03472876169902195</v>
      </c>
      <c r="F61" s="1098"/>
    </row>
    <row r="62" spans="1:6" ht="21" customHeight="1">
      <c r="A62" s="1082" t="s">
        <v>171</v>
      </c>
      <c r="B62" s="1099">
        <f>((B59/B54)^(1/5))-1</f>
        <v>0.005919839727045018</v>
      </c>
      <c r="C62" s="1100">
        <f>((C59/C54)^(1/5))-1</f>
        <v>-0.005147954991680637</v>
      </c>
      <c r="D62" s="1101">
        <f>((D59/D54)^(1/5))-1</f>
        <v>0.04910443280535315</v>
      </c>
      <c r="E62" s="1083">
        <f>((E59/E54)^(1/5))-1</f>
        <v>0.0031493887235671814</v>
      </c>
      <c r="F62" s="1102"/>
    </row>
    <row r="63" spans="1:6" ht="21" customHeight="1">
      <c r="A63" s="952" t="s">
        <v>169</v>
      </c>
      <c r="B63" s="1061">
        <f>(B59/B48)-1</f>
        <v>0.11303956925731362</v>
      </c>
      <c r="C63" s="730">
        <f>(C59/C48)-1</f>
        <v>0.00884264863082107</v>
      </c>
      <c r="D63" s="501">
        <f>(D59/D48)-1</f>
        <v>0.20740348458863545</v>
      </c>
      <c r="E63" s="500">
        <f>(E59/E48)-1</f>
        <v>0.26292843326069426</v>
      </c>
      <c r="F63" s="1102"/>
    </row>
    <row r="64" spans="1:6" ht="13.5" thickBot="1">
      <c r="A64" s="1092" t="s">
        <v>170</v>
      </c>
      <c r="B64" s="1103">
        <f>((B59/B48)^(1/11))-1</f>
        <v>0.009783422679587428</v>
      </c>
      <c r="C64" s="1104">
        <f>((C59/C48)^(1/11))-1</f>
        <v>0.0008006641215931865</v>
      </c>
      <c r="D64" s="503">
        <f>((D59/D48)^(1/11))-1</f>
        <v>0.01728146000679831</v>
      </c>
      <c r="E64" s="502">
        <f>((E59/E48)^(1/11))-1</f>
        <v>0.021447968868301137</v>
      </c>
      <c r="F64" s="731"/>
    </row>
    <row r="65" ht="12.75">
      <c r="A65" s="34"/>
    </row>
  </sheetData>
  <sheetProtection password="B728" sheet="1"/>
  <mergeCells count="3">
    <mergeCell ref="C10:G10"/>
    <mergeCell ref="H10:L10"/>
    <mergeCell ref="C40:F40"/>
  </mergeCells>
  <printOptions/>
  <pageMargins left="0.73" right="0.45" top="1.24" bottom="1" header="0" footer="0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9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7.28125" style="0" customWidth="1"/>
    <col min="2" max="2" width="20.7109375" style="0" customWidth="1"/>
    <col min="3" max="3" width="16.00390625" style="0" customWidth="1"/>
    <col min="4" max="4" width="14.421875" style="0" customWidth="1"/>
    <col min="5" max="5" width="16.7109375" style="0" customWidth="1"/>
    <col min="8" max="8" width="4.421875" style="0" customWidth="1"/>
  </cols>
  <sheetData>
    <row r="3" ht="18">
      <c r="A3" s="10" t="s">
        <v>143</v>
      </c>
    </row>
    <row r="4" ht="12.75" customHeight="1"/>
    <row r="5" spans="2:3" ht="38.25" customHeight="1">
      <c r="B5" s="738" t="s">
        <v>47</v>
      </c>
      <c r="C5" s="739" t="s">
        <v>144</v>
      </c>
    </row>
    <row r="6" spans="2:3" ht="15" customHeight="1">
      <c r="B6" s="740"/>
      <c r="C6" s="741"/>
    </row>
    <row r="7" spans="2:3" ht="12.75" customHeight="1">
      <c r="B7" s="1105">
        <v>1995</v>
      </c>
      <c r="C7" s="1106">
        <v>19.7</v>
      </c>
    </row>
    <row r="8" spans="2:3" ht="12.75">
      <c r="B8" s="742">
        <v>1996</v>
      </c>
      <c r="C8" s="743">
        <v>17</v>
      </c>
    </row>
    <row r="9" spans="2:3" ht="12.75">
      <c r="B9" s="1105">
        <v>1997</v>
      </c>
      <c r="C9" s="1106">
        <v>14.5</v>
      </c>
    </row>
    <row r="10" spans="2:3" ht="12.75">
      <c r="B10" s="742">
        <v>1998</v>
      </c>
      <c r="C10" s="744">
        <v>12.4</v>
      </c>
    </row>
    <row r="11" spans="2:3" ht="12.75">
      <c r="B11" s="1105">
        <v>1999</v>
      </c>
      <c r="C11" s="1106">
        <v>11.3</v>
      </c>
    </row>
    <row r="12" spans="2:3" ht="12.75">
      <c r="B12" s="742">
        <v>2000</v>
      </c>
      <c r="C12" s="744">
        <v>10.4</v>
      </c>
    </row>
    <row r="13" spans="2:3" ht="12.75">
      <c r="B13" s="1105">
        <v>2001</v>
      </c>
      <c r="C13" s="1106">
        <v>9.7</v>
      </c>
    </row>
    <row r="14" spans="2:3" ht="12.75">
      <c r="B14" s="742">
        <v>2002</v>
      </c>
      <c r="C14" s="743">
        <v>9.1</v>
      </c>
    </row>
    <row r="15" spans="2:3" ht="12.75">
      <c r="B15" s="1105">
        <v>2003</v>
      </c>
      <c r="C15" s="1107">
        <v>9.07</v>
      </c>
    </row>
    <row r="16" spans="2:3" ht="12.75">
      <c r="B16" s="745">
        <v>2004</v>
      </c>
      <c r="C16" s="746">
        <v>8.7</v>
      </c>
    </row>
    <row r="17" spans="2:3" ht="12.75">
      <c r="B17" s="1108">
        <v>2005</v>
      </c>
      <c r="C17" s="1109">
        <v>8.4</v>
      </c>
    </row>
    <row r="18" spans="2:3" ht="12.75">
      <c r="B18" s="745">
        <v>2006</v>
      </c>
      <c r="C18" s="746">
        <v>8.552</v>
      </c>
    </row>
    <row r="19" spans="2:3" ht="12.75">
      <c r="B19" s="1108">
        <v>2007</v>
      </c>
      <c r="C19" s="1109">
        <v>8.174</v>
      </c>
    </row>
    <row r="20" spans="2:3" ht="12.75">
      <c r="B20" s="745">
        <v>2008</v>
      </c>
      <c r="C20" s="746">
        <v>8.004</v>
      </c>
    </row>
    <row r="21" spans="2:3" ht="12.75">
      <c r="B21" s="1108">
        <v>2009</v>
      </c>
      <c r="C21" s="1109">
        <v>7.85</v>
      </c>
    </row>
    <row r="22" spans="2:3" ht="12.75">
      <c r="B22" s="745">
        <v>2010</v>
      </c>
      <c r="C22" s="746">
        <v>7.81</v>
      </c>
    </row>
    <row r="23" spans="2:3" ht="12.75">
      <c r="B23" s="1108">
        <v>2011</v>
      </c>
      <c r="C23" s="1109">
        <v>7.6</v>
      </c>
    </row>
    <row r="24" spans="2:3" ht="13.5" thickBot="1">
      <c r="B24" s="1110"/>
      <c r="C24" s="1111"/>
    </row>
    <row r="25" spans="2:3" ht="12.75">
      <c r="B25" s="1112" t="s">
        <v>167</v>
      </c>
      <c r="C25" s="1219">
        <f>(C23/C22)-1</f>
        <v>-0.02688860435339313</v>
      </c>
    </row>
    <row r="26" spans="2:3" ht="12.75">
      <c r="B26" s="1113" t="s">
        <v>171</v>
      </c>
      <c r="C26" s="1218">
        <f>((C23/C18)^(1/5))-1</f>
        <v>-0.02332700416802136</v>
      </c>
    </row>
    <row r="27" spans="2:3" ht="12.75">
      <c r="B27" s="1114" t="s">
        <v>169</v>
      </c>
      <c r="C27" s="1217">
        <f>(C23/C12)-1</f>
        <v>-0.2692307692307693</v>
      </c>
    </row>
    <row r="28" spans="2:3" ht="12.75">
      <c r="B28" s="1115" t="s">
        <v>170</v>
      </c>
      <c r="C28" s="1216">
        <f>((C23/C12)^(1/11))-1</f>
        <v>-0.028111626828044245</v>
      </c>
    </row>
    <row r="29" ht="12.75">
      <c r="B29" t="s">
        <v>173</v>
      </c>
    </row>
    <row r="30" ht="12.75">
      <c r="B30" s="34"/>
    </row>
    <row r="59" ht="12.75">
      <c r="B59" s="393"/>
    </row>
  </sheetData>
  <sheetProtection password="B728" sheet="1"/>
  <printOptions/>
  <pageMargins left="1.14" right="1.4" top="0.8" bottom="1" header="0" footer="0"/>
  <pageSetup fitToHeight="1" fitToWidth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2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15" customWidth="1"/>
    <col min="15" max="15" width="2.8515625" style="0" customWidth="1"/>
  </cols>
  <sheetData>
    <row r="3" spans="1:7" ht="20.25">
      <c r="A3" s="747" t="s">
        <v>145</v>
      </c>
      <c r="C3" s="24"/>
      <c r="D3" s="24"/>
      <c r="E3" s="24"/>
      <c r="F3" s="24"/>
      <c r="G3" s="24"/>
    </row>
    <row r="4" spans="2:7" ht="18">
      <c r="B4" s="748"/>
      <c r="C4" s="24"/>
      <c r="D4" s="24"/>
      <c r="E4" s="24"/>
      <c r="F4" s="24"/>
      <c r="G4" s="24"/>
    </row>
    <row r="5" spans="2:18" ht="13.5" thickBot="1">
      <c r="B5" s="749"/>
      <c r="C5" s="749"/>
      <c r="D5" s="749"/>
      <c r="E5" s="749"/>
      <c r="F5" s="749"/>
      <c r="G5" s="749"/>
      <c r="K5" s="15"/>
      <c r="L5" s="200"/>
      <c r="M5" s="200"/>
      <c r="N5" s="200"/>
      <c r="O5" s="200"/>
      <c r="P5" s="200"/>
      <c r="Q5" s="24"/>
      <c r="R5" s="24"/>
    </row>
    <row r="6" spans="2:18" ht="13.5" thickBot="1">
      <c r="B6" s="750"/>
      <c r="C6" s="280" t="s">
        <v>46</v>
      </c>
      <c r="D6" s="1634" t="s">
        <v>146</v>
      </c>
      <c r="E6" s="1583"/>
      <c r="F6" s="1584"/>
      <c r="G6" s="229" t="s">
        <v>56</v>
      </c>
      <c r="K6" s="15"/>
      <c r="L6" s="200"/>
      <c r="M6" s="200"/>
      <c r="N6" s="200"/>
      <c r="O6" s="200"/>
      <c r="P6" s="200"/>
      <c r="Q6" s="24"/>
      <c r="R6" s="24"/>
    </row>
    <row r="7" spans="2:18" ht="13.5" thickBot="1">
      <c r="B7" s="287" t="s">
        <v>47</v>
      </c>
      <c r="C7" s="287" t="s">
        <v>55</v>
      </c>
      <c r="D7" s="751" t="s">
        <v>55</v>
      </c>
      <c r="E7" s="287" t="s">
        <v>108</v>
      </c>
      <c r="F7" s="160" t="s">
        <v>109</v>
      </c>
      <c r="G7" s="231" t="s">
        <v>147</v>
      </c>
      <c r="K7" s="15"/>
      <c r="L7" s="200"/>
      <c r="M7" s="200"/>
      <c r="N7" s="200"/>
      <c r="O7" s="200"/>
      <c r="P7" s="200"/>
      <c r="Q7" s="24"/>
      <c r="R7" s="24"/>
    </row>
    <row r="8" spans="2:18" ht="12.75">
      <c r="B8" s="752"/>
      <c r="C8" s="752"/>
      <c r="D8" s="753"/>
      <c r="E8" s="752"/>
      <c r="F8" s="754"/>
      <c r="G8" s="755"/>
      <c r="K8" s="15"/>
      <c r="L8" s="200"/>
      <c r="M8" s="200"/>
      <c r="N8" s="200"/>
      <c r="O8" s="200"/>
      <c r="P8" s="200"/>
      <c r="Q8" s="24"/>
      <c r="R8" s="24"/>
    </row>
    <row r="9" spans="2:18" ht="12.75">
      <c r="B9" s="1116">
        <v>1995</v>
      </c>
      <c r="C9" s="1545">
        <f aca="true" t="shared" si="0" ref="C9:C24">SUM(E9+F9+G9)</f>
        <v>13623.056128000004</v>
      </c>
      <c r="D9" s="1546">
        <f>+E9+F9</f>
        <v>9849.256128000005</v>
      </c>
      <c r="E9" s="1547">
        <v>8673.708087000005</v>
      </c>
      <c r="F9" s="1548">
        <v>1175.548041</v>
      </c>
      <c r="G9" s="1549">
        <v>3773.8</v>
      </c>
      <c r="I9" s="105"/>
      <c r="J9" s="756"/>
      <c r="K9" s="15"/>
      <c r="L9" s="200"/>
      <c r="M9" s="757"/>
      <c r="N9" s="757"/>
      <c r="O9" s="200"/>
      <c r="P9" s="200"/>
      <c r="Q9" s="24"/>
      <c r="R9" s="24"/>
    </row>
    <row r="10" spans="2:18" ht="12.75">
      <c r="B10" s="758">
        <v>1996</v>
      </c>
      <c r="C10" s="1550">
        <f t="shared" si="0"/>
        <v>14303.13959799999</v>
      </c>
      <c r="D10" s="1551">
        <f aca="true" t="shared" si="1" ref="D10:D24">+E10+F10</f>
        <v>10330.839597999991</v>
      </c>
      <c r="E10" s="1564">
        <v>8770.610735999991</v>
      </c>
      <c r="F10" s="1565">
        <v>1560.228862</v>
      </c>
      <c r="G10" s="1566">
        <v>3972.3</v>
      </c>
      <c r="I10" s="105"/>
      <c r="J10" s="756"/>
      <c r="K10" s="15"/>
      <c r="L10" s="200"/>
      <c r="M10" s="207"/>
      <c r="N10" s="207"/>
      <c r="O10" s="207"/>
      <c r="P10" s="200"/>
      <c r="Q10" s="24"/>
      <c r="R10" s="24"/>
    </row>
    <row r="11" spans="2:18" ht="12.75">
      <c r="B11" s="1116">
        <v>1997</v>
      </c>
      <c r="C11" s="1545">
        <f t="shared" si="0"/>
        <v>15056.08015999999</v>
      </c>
      <c r="D11" s="1546">
        <f t="shared" si="1"/>
        <v>12451.23015999999</v>
      </c>
      <c r="E11" s="1547">
        <v>9377.89467999999</v>
      </c>
      <c r="F11" s="1548">
        <v>3073.3354799999997</v>
      </c>
      <c r="G11" s="1549">
        <v>2604.85</v>
      </c>
      <c r="I11" s="105"/>
      <c r="J11" s="756"/>
      <c r="K11" s="15"/>
      <c r="L11" s="200"/>
      <c r="M11" s="207"/>
      <c r="N11" s="207"/>
      <c r="O11" s="207"/>
      <c r="P11" s="200"/>
      <c r="Q11" s="24"/>
      <c r="R11" s="24"/>
    </row>
    <row r="12" spans="2:18" ht="12.75">
      <c r="B12" s="758">
        <v>1998</v>
      </c>
      <c r="C12" s="1550">
        <f t="shared" si="0"/>
        <v>15775.176823</v>
      </c>
      <c r="D12" s="1551">
        <f t="shared" si="1"/>
        <v>14008.576823</v>
      </c>
      <c r="E12" s="1564">
        <v>9878.661572999998</v>
      </c>
      <c r="F12" s="1565">
        <v>4129.915250000001</v>
      </c>
      <c r="G12" s="1566">
        <v>1766.6</v>
      </c>
      <c r="I12" s="105"/>
      <c r="J12" s="756"/>
      <c r="K12" s="15"/>
      <c r="L12" s="200"/>
      <c r="M12" s="207"/>
      <c r="N12" s="207"/>
      <c r="O12" s="207"/>
      <c r="P12" s="200"/>
      <c r="Q12" s="24"/>
      <c r="R12" s="24"/>
    </row>
    <row r="13" spans="2:18" ht="12.75">
      <c r="B13" s="1116">
        <v>1999</v>
      </c>
      <c r="C13" s="1545">
        <f t="shared" si="0"/>
        <v>16274.991559000011</v>
      </c>
      <c r="D13" s="1546">
        <f t="shared" si="1"/>
        <v>14591.991559000011</v>
      </c>
      <c r="E13" s="1547">
        <v>10198.991027000011</v>
      </c>
      <c r="F13" s="1548">
        <v>4393.000532</v>
      </c>
      <c r="G13" s="1549">
        <v>1683</v>
      </c>
      <c r="I13" s="105"/>
      <c r="J13" s="756"/>
      <c r="K13" s="15"/>
      <c r="L13" s="200"/>
      <c r="M13" s="207"/>
      <c r="N13" s="207"/>
      <c r="O13" s="207"/>
      <c r="P13" s="200"/>
      <c r="Q13" s="24"/>
      <c r="R13" s="24"/>
    </row>
    <row r="14" spans="2:18" ht="12.75">
      <c r="B14" s="758">
        <v>2000</v>
      </c>
      <c r="C14" s="1550">
        <f t="shared" si="0"/>
        <v>17140.395011000015</v>
      </c>
      <c r="D14" s="1551">
        <f t="shared" si="1"/>
        <v>15545.595392000014</v>
      </c>
      <c r="E14" s="1564">
        <v>10763.269271000014</v>
      </c>
      <c r="F14" s="1565">
        <v>4782.326121</v>
      </c>
      <c r="G14" s="1566">
        <v>1594.799619</v>
      </c>
      <c r="I14" s="105"/>
      <c r="J14" s="756"/>
      <c r="K14" s="15"/>
      <c r="L14" s="200"/>
      <c r="M14" s="200"/>
      <c r="N14" s="200"/>
      <c r="O14" s="200"/>
      <c r="P14" s="200"/>
      <c r="Q14" s="24"/>
      <c r="R14" s="24"/>
    </row>
    <row r="15" spans="2:18" ht="12.75">
      <c r="B15" s="1116">
        <v>2001</v>
      </c>
      <c r="C15" s="1545">
        <f t="shared" si="0"/>
        <v>18199.95454499999</v>
      </c>
      <c r="D15" s="1546">
        <f t="shared" si="1"/>
        <v>16628.75454499999</v>
      </c>
      <c r="E15" s="1547">
        <v>10522.374724999987</v>
      </c>
      <c r="F15" s="1548">
        <v>6106.37982</v>
      </c>
      <c r="G15" s="1549">
        <v>1571.2</v>
      </c>
      <c r="I15" s="105"/>
      <c r="J15" s="756"/>
      <c r="K15" s="15"/>
      <c r="L15" s="200"/>
      <c r="M15" s="200"/>
      <c r="N15" s="207"/>
      <c r="O15" s="200"/>
      <c r="P15" s="200"/>
      <c r="Q15" s="24"/>
      <c r="R15" s="24"/>
    </row>
    <row r="16" spans="2:18" ht="12.75">
      <c r="B16" s="758">
        <v>2002</v>
      </c>
      <c r="C16" s="1550">
        <f t="shared" si="0"/>
        <v>19168.140412848003</v>
      </c>
      <c r="D16" s="1551">
        <f t="shared" si="1"/>
        <v>17605.325913848</v>
      </c>
      <c r="E16" s="1564">
        <v>11113.547163000001</v>
      </c>
      <c r="F16" s="1565">
        <v>6491.778750848</v>
      </c>
      <c r="G16" s="1566">
        <v>1562.8144990000035</v>
      </c>
      <c r="I16" s="105"/>
      <c r="J16" s="756"/>
      <c r="K16" s="15"/>
      <c r="L16" s="200"/>
      <c r="M16" s="200"/>
      <c r="N16" s="207"/>
      <c r="O16" s="200"/>
      <c r="P16" s="200"/>
      <c r="Q16" s="24"/>
      <c r="R16" s="24"/>
    </row>
    <row r="17" spans="2:16" ht="12.75">
      <c r="B17" s="1117">
        <v>2003</v>
      </c>
      <c r="C17" s="1545">
        <f>SUM(E17+F17+G17)</f>
        <v>19937.226353999995</v>
      </c>
      <c r="D17" s="1546">
        <f t="shared" si="1"/>
        <v>18375.335409999996</v>
      </c>
      <c r="E17" s="1547">
        <v>11303.613572999999</v>
      </c>
      <c r="F17" s="1548">
        <v>7071.721836999998</v>
      </c>
      <c r="G17" s="1549">
        <v>1561.8909439999998</v>
      </c>
      <c r="I17" s="105"/>
      <c r="J17" s="756"/>
      <c r="K17" s="15"/>
      <c r="L17" s="15"/>
      <c r="M17" s="15"/>
      <c r="N17" s="207"/>
      <c r="O17" s="15"/>
      <c r="P17" s="15"/>
    </row>
    <row r="18" spans="2:16" ht="12.75">
      <c r="B18" s="758">
        <v>2004</v>
      </c>
      <c r="C18" s="1550">
        <f t="shared" si="0"/>
        <v>21287.72439</v>
      </c>
      <c r="D18" s="1551">
        <f t="shared" si="1"/>
        <v>19640.65111</v>
      </c>
      <c r="E18" s="1564">
        <v>12001.305316</v>
      </c>
      <c r="F18" s="1565">
        <v>7639.345794000001</v>
      </c>
      <c r="G18" s="1566">
        <v>1647.0732800000003</v>
      </c>
      <c r="I18" s="105"/>
      <c r="J18" s="756"/>
      <c r="K18" s="15"/>
      <c r="L18" s="15"/>
      <c r="M18" s="15"/>
      <c r="N18" s="207"/>
      <c r="O18" s="15"/>
      <c r="P18" s="15"/>
    </row>
    <row r="19" spans="2:14" ht="12.75">
      <c r="B19" s="1116">
        <v>2005</v>
      </c>
      <c r="C19" s="1545">
        <f t="shared" si="0"/>
        <v>22400.244750429476</v>
      </c>
      <c r="D19" s="1546">
        <f t="shared" si="1"/>
        <v>20701.382880222223</v>
      </c>
      <c r="E19" s="1547">
        <v>12914.287800222222</v>
      </c>
      <c r="F19" s="1548">
        <v>7787.095080000001</v>
      </c>
      <c r="G19" s="1549">
        <v>1698.861870207253</v>
      </c>
      <c r="I19" s="105"/>
      <c r="J19" s="756"/>
      <c r="N19" s="207"/>
    </row>
    <row r="20" spans="2:14" ht="12.75">
      <c r="B20" s="758">
        <v>2006</v>
      </c>
      <c r="C20" s="1550">
        <f t="shared" si="0"/>
        <v>24046.12609062141</v>
      </c>
      <c r="D20" s="1551">
        <f t="shared" si="1"/>
        <v>22290.061152999995</v>
      </c>
      <c r="E20" s="1564">
        <v>14043.638326999999</v>
      </c>
      <c r="F20" s="1565">
        <v>8246.422825999998</v>
      </c>
      <c r="G20" s="1566">
        <v>1756.064937621414</v>
      </c>
      <c r="I20" s="105"/>
      <c r="J20" s="756"/>
      <c r="N20" s="207"/>
    </row>
    <row r="21" spans="2:14" ht="12.75">
      <c r="B21" s="1116">
        <v>2007</v>
      </c>
      <c r="C21" s="1545">
        <f t="shared" si="0"/>
        <v>26464.30460466</v>
      </c>
      <c r="D21" s="1546">
        <f t="shared" si="1"/>
        <v>24721.748552999998</v>
      </c>
      <c r="E21" s="1547">
        <v>15032.180854999999</v>
      </c>
      <c r="F21" s="1548">
        <v>9689.567697999999</v>
      </c>
      <c r="G21" s="1549">
        <v>1742.55605166</v>
      </c>
      <c r="N21"/>
    </row>
    <row r="22" spans="2:14" ht="12.75">
      <c r="B22" s="758">
        <v>2008</v>
      </c>
      <c r="C22" s="1550">
        <f t="shared" si="0"/>
        <v>28833.06706300001</v>
      </c>
      <c r="D22" s="1551">
        <f t="shared" si="1"/>
        <v>26964.41459600001</v>
      </c>
      <c r="E22" s="1564">
        <v>16297.176545000008</v>
      </c>
      <c r="F22" s="1565">
        <v>10667.238051000004</v>
      </c>
      <c r="G22" s="1566">
        <v>1868.652467</v>
      </c>
      <c r="N22"/>
    </row>
    <row r="23" spans="2:14" ht="12.75">
      <c r="B23" s="1118">
        <v>2009</v>
      </c>
      <c r="C23" s="1545">
        <f t="shared" si="0"/>
        <v>29109.838815000003</v>
      </c>
      <c r="D23" s="1546">
        <f t="shared" si="1"/>
        <v>27087.005777000002</v>
      </c>
      <c r="E23" s="1547">
        <v>17000.664145000002</v>
      </c>
      <c r="F23" s="1548">
        <v>10086.341632</v>
      </c>
      <c r="G23" s="1549">
        <v>2022.8330379999998</v>
      </c>
      <c r="N23"/>
    </row>
    <row r="24" spans="2:14" ht="12.75">
      <c r="B24" s="759">
        <v>2010</v>
      </c>
      <c r="C24" s="1550">
        <f t="shared" si="0"/>
        <v>31798.367258000002</v>
      </c>
      <c r="D24" s="1551">
        <f t="shared" si="1"/>
        <v>29436.175124</v>
      </c>
      <c r="E24" s="1564">
        <v>18195.325098</v>
      </c>
      <c r="F24" s="1565">
        <v>11240.850026</v>
      </c>
      <c r="G24" s="1566">
        <v>2362.192134000001</v>
      </c>
      <c r="N24"/>
    </row>
    <row r="25" spans="2:14" ht="12.75">
      <c r="B25" s="1118">
        <v>2011</v>
      </c>
      <c r="C25" s="1545">
        <f>SUM(E25+F25+G25)</f>
        <v>34249.84104480803</v>
      </c>
      <c r="D25" s="1546">
        <f>+E25+F25</f>
        <v>31795.547938000003</v>
      </c>
      <c r="E25" s="1547">
        <v>19744.523815</v>
      </c>
      <c r="F25" s="1548">
        <v>12051.024123000001</v>
      </c>
      <c r="G25" s="1549">
        <v>2454.29310680803</v>
      </c>
      <c r="N25"/>
    </row>
    <row r="26" spans="2:14" ht="13.5" thickBot="1">
      <c r="B26" s="923"/>
      <c r="C26" s="1119"/>
      <c r="D26" s="1120"/>
      <c r="E26" s="1121"/>
      <c r="F26" s="1122"/>
      <c r="G26" s="1123"/>
      <c r="N26"/>
    </row>
    <row r="27" spans="2:14" ht="12.75">
      <c r="B27" s="1124" t="s">
        <v>167</v>
      </c>
      <c r="C27" s="1196">
        <f>(C25/C24)-1</f>
        <v>0.07709432899235646</v>
      </c>
      <c r="D27" s="1197">
        <f>(D25/D24)-1</f>
        <v>0.08015215305864754</v>
      </c>
      <c r="E27" s="1198">
        <f>(E25/E24)-1</f>
        <v>0.0851426786087095</v>
      </c>
      <c r="F27" s="1199">
        <f>(F25/F24)-1</f>
        <v>0.0720740953865655</v>
      </c>
      <c r="G27" s="1200">
        <f>(G25/G24)-1</f>
        <v>0.038989619634399064</v>
      </c>
      <c r="N27" s="207"/>
    </row>
    <row r="28" spans="2:7" ht="12.75">
      <c r="B28" s="377" t="s">
        <v>171</v>
      </c>
      <c r="C28" s="1201">
        <f>((C25/C20)^(1/5))-1</f>
        <v>0.07330385205460987</v>
      </c>
      <c r="D28" s="1202">
        <f>((D25/D20)^(1/5))-1</f>
        <v>0.07362103223347427</v>
      </c>
      <c r="E28" s="1203">
        <f>((E25/E20)^(1/5))-1</f>
        <v>0.07051659873324945</v>
      </c>
      <c r="F28" s="1204">
        <f>((F25/F20)^(1/5))-1</f>
        <v>0.07882666285009132</v>
      </c>
      <c r="G28" s="1205">
        <f>((G25/G20)^(1/5))-1</f>
        <v>0.06924485991537188</v>
      </c>
    </row>
    <row r="29" spans="2:7" ht="12.75">
      <c r="B29" s="1125" t="s">
        <v>169</v>
      </c>
      <c r="C29" s="1206">
        <f>(C25/C14)-1</f>
        <v>0.9981943836666463</v>
      </c>
      <c r="D29" s="1207">
        <f>(D25/D14)-1</f>
        <v>1.045309114011963</v>
      </c>
      <c r="E29" s="1208">
        <f>(E25/E14)-1</f>
        <v>0.8344355527923664</v>
      </c>
      <c r="F29" s="1209">
        <f>(F25/F14)-1</f>
        <v>1.5199084750999985</v>
      </c>
      <c r="G29" s="1210">
        <f>(G25/G14)-1</f>
        <v>0.5389350972800993</v>
      </c>
    </row>
    <row r="30" spans="2:7" ht="13.5" thickBot="1">
      <c r="B30" s="381" t="s">
        <v>170</v>
      </c>
      <c r="C30" s="1211">
        <f>((C25/C14)^(1/11))-1</f>
        <v>0.06495364193088582</v>
      </c>
      <c r="D30" s="1212">
        <f>((D25/D14)^(1/11))-1</f>
        <v>0.06721228025339543</v>
      </c>
      <c r="E30" s="1213">
        <f>((E25/E14)^(1/11))-1</f>
        <v>0.056707449224866924</v>
      </c>
      <c r="F30" s="1214">
        <f>((F25/F14)^(1/11))-1</f>
        <v>0.08765090185203728</v>
      </c>
      <c r="G30" s="1215">
        <f>((G25/G14)^(1/11))-1</f>
        <v>0.03996812328531307</v>
      </c>
    </row>
    <row r="31" ht="12.75">
      <c r="B31" t="s">
        <v>173</v>
      </c>
    </row>
    <row r="32" ht="12.75">
      <c r="B32" s="34"/>
    </row>
  </sheetData>
  <sheetProtection password="B728" sheet="1"/>
  <mergeCells count="1">
    <mergeCell ref="D6:F6"/>
  </mergeCells>
  <printOptions/>
  <pageMargins left="1.07" right="1.16" top="1.03" bottom="1" header="0" footer="0"/>
  <pageSetup fitToHeight="1" fitToWidth="1" horizontalDpi="300" verticalDpi="3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57421875" style="0" customWidth="1"/>
    <col min="2" max="6" width="12.7109375" style="0" customWidth="1"/>
    <col min="7" max="7" width="13.8515625" style="0" bestFit="1" customWidth="1"/>
    <col min="8" max="8" width="16.140625" style="0" customWidth="1"/>
    <col min="9" max="19" width="10.7109375" style="0" customWidth="1"/>
    <col min="23" max="23" width="12.57421875" style="0" bestFit="1" customWidth="1"/>
  </cols>
  <sheetData>
    <row r="1" spans="1:2" ht="15.75">
      <c r="A1" s="761"/>
      <c r="B1" s="761"/>
    </row>
    <row r="2" spans="1:25" ht="16.5">
      <c r="A2" s="762" t="s">
        <v>148</v>
      </c>
      <c r="B2" s="104"/>
      <c r="C2" s="104"/>
      <c r="D2" s="104"/>
      <c r="E2" s="104"/>
      <c r="F2" s="104"/>
      <c r="G2" s="104"/>
      <c r="H2" s="10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763"/>
      <c r="B3" s="763"/>
      <c r="C3" s="763"/>
      <c r="D3" s="763"/>
      <c r="E3" s="763"/>
      <c r="F3" s="763"/>
      <c r="G3" s="763"/>
      <c r="H3" s="76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05"/>
    </row>
    <row r="4" spans="11:25" ht="13.5" thickBot="1"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05"/>
    </row>
    <row r="5" spans="1:25" ht="16.5" thickBot="1">
      <c r="A5" s="764"/>
      <c r="B5" s="1635" t="s">
        <v>149</v>
      </c>
      <c r="C5" s="1636"/>
      <c r="D5" s="1636"/>
      <c r="E5" s="1636"/>
      <c r="F5" s="1637"/>
      <c r="G5" s="329" t="s">
        <v>150</v>
      </c>
      <c r="H5" s="1638" t="s">
        <v>151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05"/>
    </row>
    <row r="6" spans="1:25" ht="12.75" customHeight="1">
      <c r="A6" s="765" t="s">
        <v>47</v>
      </c>
      <c r="B6" s="1641" t="s">
        <v>152</v>
      </c>
      <c r="C6" s="1643" t="s">
        <v>153</v>
      </c>
      <c r="D6" s="1643" t="s">
        <v>154</v>
      </c>
      <c r="E6" s="1645" t="s">
        <v>155</v>
      </c>
      <c r="F6" s="1647" t="s">
        <v>55</v>
      </c>
      <c r="G6" s="766" t="s">
        <v>156</v>
      </c>
      <c r="H6" s="1639"/>
      <c r="I6" s="9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05"/>
    </row>
    <row r="7" spans="1:25" ht="15.75" thickBot="1">
      <c r="A7" s="767"/>
      <c r="B7" s="1642"/>
      <c r="C7" s="1644"/>
      <c r="D7" s="1644"/>
      <c r="E7" s="1646"/>
      <c r="F7" s="1648"/>
      <c r="G7" s="768" t="s">
        <v>157</v>
      </c>
      <c r="H7" s="1640"/>
      <c r="I7" s="9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05"/>
    </row>
    <row r="8" spans="1:9" ht="15">
      <c r="A8" s="769"/>
      <c r="B8" s="770"/>
      <c r="C8" s="771"/>
      <c r="D8" s="771"/>
      <c r="E8" s="771"/>
      <c r="F8" s="772"/>
      <c r="G8" s="773"/>
      <c r="H8" s="774"/>
      <c r="I8" s="95"/>
    </row>
    <row r="9" spans="1:9" ht="15">
      <c r="A9" s="1136">
        <v>1995</v>
      </c>
      <c r="B9" s="1137">
        <v>3963.76629</v>
      </c>
      <c r="C9" s="1138">
        <f>1375.844691+872.823814</f>
        <v>2248.668505</v>
      </c>
      <c r="D9" s="1138">
        <v>3154.1445019999996</v>
      </c>
      <c r="E9" s="1138">
        <v>482.67683</v>
      </c>
      <c r="F9" s="1139">
        <f aca="true" t="shared" si="0" ref="F9:F25">B9+C9+D9+E9</f>
        <v>9849.256127</v>
      </c>
      <c r="G9" s="1187">
        <v>3773.8</v>
      </c>
      <c r="H9" s="1188">
        <f aca="true" t="shared" si="1" ref="H9:H25">SUM(F9:G9)</f>
        <v>13623.056127</v>
      </c>
      <c r="I9" s="95"/>
    </row>
    <row r="10" spans="1:9" ht="15">
      <c r="A10" s="769">
        <v>1996</v>
      </c>
      <c r="B10" s="770">
        <v>4305.296401</v>
      </c>
      <c r="C10" s="771">
        <f>1475.713399+875.27503</f>
        <v>2350.988429</v>
      </c>
      <c r="D10" s="771">
        <v>3185.061631</v>
      </c>
      <c r="E10" s="771">
        <v>489.44557</v>
      </c>
      <c r="F10" s="772">
        <f t="shared" si="0"/>
        <v>10330.792030999999</v>
      </c>
      <c r="G10" s="773">
        <v>3972.3</v>
      </c>
      <c r="H10" s="774">
        <f t="shared" si="1"/>
        <v>14303.092031</v>
      </c>
      <c r="I10" s="95"/>
    </row>
    <row r="11" spans="1:9" ht="15">
      <c r="A11" s="1136">
        <v>1997</v>
      </c>
      <c r="B11" s="1137">
        <v>6058.131118</v>
      </c>
      <c r="C11" s="1138">
        <v>2480.103368</v>
      </c>
      <c r="D11" s="1138">
        <f>3385523/1000</f>
        <v>3385.523</v>
      </c>
      <c r="E11" s="1138">
        <f>527473/1000</f>
        <v>527.473</v>
      </c>
      <c r="F11" s="1139">
        <f t="shared" si="0"/>
        <v>12451.230486000002</v>
      </c>
      <c r="G11" s="1187">
        <v>2604.85</v>
      </c>
      <c r="H11" s="1188">
        <f t="shared" si="1"/>
        <v>15056.080486000003</v>
      </c>
      <c r="I11" s="95"/>
    </row>
    <row r="12" spans="1:9" ht="15">
      <c r="A12" s="769">
        <v>1998</v>
      </c>
      <c r="B12" s="770">
        <v>7473.848437</v>
      </c>
      <c r="C12" s="771">
        <v>2360.432139</v>
      </c>
      <c r="D12" s="771">
        <v>3639.3</v>
      </c>
      <c r="E12" s="771">
        <v>535.0651</v>
      </c>
      <c r="F12" s="772">
        <f t="shared" si="0"/>
        <v>14008.645676</v>
      </c>
      <c r="G12" s="773">
        <v>1766.6</v>
      </c>
      <c r="H12" s="774">
        <f t="shared" si="1"/>
        <v>15775.245676</v>
      </c>
      <c r="I12" s="95"/>
    </row>
    <row r="13" spans="1:9" ht="15">
      <c r="A13" s="1136">
        <v>1999</v>
      </c>
      <c r="B13" s="1137">
        <v>7855.6</v>
      </c>
      <c r="C13" s="1138">
        <v>2420.3</v>
      </c>
      <c r="D13" s="1138">
        <v>3772.7</v>
      </c>
      <c r="E13" s="1138">
        <v>543.3</v>
      </c>
      <c r="F13" s="1139">
        <f t="shared" si="0"/>
        <v>14591.900000000001</v>
      </c>
      <c r="G13" s="1187">
        <v>1683</v>
      </c>
      <c r="H13" s="1188">
        <f t="shared" si="1"/>
        <v>16274.900000000001</v>
      </c>
      <c r="I13" s="95"/>
    </row>
    <row r="14" spans="1:9" ht="15">
      <c r="A14" s="769">
        <v>2000</v>
      </c>
      <c r="B14" s="770">
        <v>8375.016653115</v>
      </c>
      <c r="C14" s="771">
        <v>2693.3458028849996</v>
      </c>
      <c r="D14" s="771">
        <v>3936.241469000001</v>
      </c>
      <c r="E14" s="771">
        <v>540.9919540000001</v>
      </c>
      <c r="F14" s="772">
        <f t="shared" si="0"/>
        <v>15545.595879</v>
      </c>
      <c r="G14" s="773">
        <v>1594.799619</v>
      </c>
      <c r="H14" s="774">
        <f t="shared" si="1"/>
        <v>17140.395498</v>
      </c>
      <c r="I14" s="95"/>
    </row>
    <row r="15" spans="1:10" ht="15">
      <c r="A15" s="1136">
        <v>2001</v>
      </c>
      <c r="B15" s="1137">
        <v>9280.560039965001</v>
      </c>
      <c r="C15" s="1138">
        <v>2762.2040670349998</v>
      </c>
      <c r="D15" s="1138">
        <v>4043.968830999999</v>
      </c>
      <c r="E15" s="1138">
        <v>542.021618</v>
      </c>
      <c r="F15" s="1139">
        <f t="shared" si="0"/>
        <v>16628.754556</v>
      </c>
      <c r="G15" s="1187">
        <v>1571.2</v>
      </c>
      <c r="H15" s="1188">
        <f t="shared" si="1"/>
        <v>18199.954556</v>
      </c>
      <c r="I15" s="95"/>
      <c r="J15" s="1176"/>
    </row>
    <row r="16" spans="1:13" ht="15">
      <c r="A16" s="769">
        <v>2002</v>
      </c>
      <c r="B16" s="770">
        <v>9567.606076848</v>
      </c>
      <c r="C16" s="771">
        <v>3013.11527</v>
      </c>
      <c r="D16" s="771">
        <v>4464.875400000001</v>
      </c>
      <c r="E16" s="771">
        <v>559.7291200000001</v>
      </c>
      <c r="F16" s="772">
        <f t="shared" si="0"/>
        <v>17605.325866848</v>
      </c>
      <c r="G16" s="773">
        <v>1562.8145069999996</v>
      </c>
      <c r="H16" s="774">
        <f t="shared" si="1"/>
        <v>19168.140373848</v>
      </c>
      <c r="I16" s="95"/>
      <c r="J16" s="1176"/>
      <c r="K16" s="1176"/>
      <c r="L16" s="1176"/>
      <c r="M16" s="1176"/>
    </row>
    <row r="17" spans="1:13" ht="15">
      <c r="A17" s="1136">
        <v>2003</v>
      </c>
      <c r="B17" s="1137">
        <v>10038.680803439998</v>
      </c>
      <c r="C17" s="1138">
        <v>3341.09110656</v>
      </c>
      <c r="D17" s="1138">
        <v>4425.337826999999</v>
      </c>
      <c r="E17" s="1138">
        <v>570.225511</v>
      </c>
      <c r="F17" s="1139">
        <f t="shared" si="0"/>
        <v>18375.335248</v>
      </c>
      <c r="G17" s="1187">
        <v>1561.8909440000034</v>
      </c>
      <c r="H17" s="1188">
        <f t="shared" si="1"/>
        <v>19937.226192000002</v>
      </c>
      <c r="I17" s="95"/>
      <c r="J17" s="1176"/>
      <c r="K17" s="1176"/>
      <c r="L17" s="1176"/>
      <c r="M17" s="1176"/>
    </row>
    <row r="18" spans="1:13" ht="15">
      <c r="A18" s="769">
        <v>2004</v>
      </c>
      <c r="B18" s="770">
        <v>10813.356356900718</v>
      </c>
      <c r="C18" s="771">
        <v>3504.82790792116</v>
      </c>
      <c r="D18" s="771">
        <v>4720.009164178123</v>
      </c>
      <c r="E18" s="771">
        <v>602.457681</v>
      </c>
      <c r="F18" s="772">
        <f t="shared" si="0"/>
        <v>19640.651110000003</v>
      </c>
      <c r="G18" s="773">
        <v>1647.0732800000003</v>
      </c>
      <c r="H18" s="774">
        <f t="shared" si="1"/>
        <v>21287.724390000003</v>
      </c>
      <c r="I18" s="95"/>
      <c r="J18" s="1176"/>
      <c r="K18" s="1176"/>
      <c r="L18" s="1176"/>
      <c r="M18" s="1176"/>
    </row>
    <row r="19" spans="1:13" ht="15">
      <c r="A19" s="1136">
        <v>2005</v>
      </c>
      <c r="B19" s="1137">
        <v>11280.688346002735</v>
      </c>
      <c r="C19" s="1138">
        <v>3767.932234347939</v>
      </c>
      <c r="D19" s="1138">
        <v>5020.735608899326</v>
      </c>
      <c r="E19" s="1138">
        <v>632.0266909722221</v>
      </c>
      <c r="F19" s="1139">
        <f t="shared" si="0"/>
        <v>20701.382880222223</v>
      </c>
      <c r="G19" s="1187">
        <v>1698.861870207249</v>
      </c>
      <c r="H19" s="1188">
        <f t="shared" si="1"/>
        <v>22400.244750429472</v>
      </c>
      <c r="I19" s="95"/>
      <c r="J19" s="1176"/>
      <c r="K19" s="1176"/>
      <c r="L19" s="1176"/>
      <c r="M19" s="1176"/>
    </row>
    <row r="20" spans="1:13" ht="15">
      <c r="A20" s="775">
        <v>2006</v>
      </c>
      <c r="B20" s="770">
        <v>12136.089942735412</v>
      </c>
      <c r="C20" s="771">
        <v>4105.680427596885</v>
      </c>
      <c r="D20" s="771">
        <v>5404.368964667702</v>
      </c>
      <c r="E20" s="771">
        <v>643.9218179999999</v>
      </c>
      <c r="F20" s="772">
        <f t="shared" si="0"/>
        <v>22290.061153</v>
      </c>
      <c r="G20" s="773">
        <v>1756.0649376214142</v>
      </c>
      <c r="H20" s="774">
        <f t="shared" si="1"/>
        <v>24046.126090621412</v>
      </c>
      <c r="I20" s="95"/>
      <c r="J20" s="1176"/>
      <c r="K20" s="1176"/>
      <c r="L20" s="1176"/>
      <c r="M20" s="1176"/>
    </row>
    <row r="21" spans="1:13" ht="15">
      <c r="A21" s="1140">
        <v>2007</v>
      </c>
      <c r="B21" s="1137">
        <v>13798.540004759721</v>
      </c>
      <c r="C21" s="1138">
        <v>4390.637794451482</v>
      </c>
      <c r="D21" s="1138">
        <v>5877.125337788799</v>
      </c>
      <c r="E21" s="1138">
        <v>655.445416</v>
      </c>
      <c r="F21" s="1139">
        <f t="shared" si="0"/>
        <v>24721.748553</v>
      </c>
      <c r="G21" s="1187">
        <v>1742.55605166</v>
      </c>
      <c r="H21" s="1188">
        <f t="shared" si="1"/>
        <v>26464.304604660003</v>
      </c>
      <c r="I21" s="95"/>
      <c r="J21" s="1176"/>
      <c r="K21" s="1176"/>
      <c r="L21" s="1176"/>
      <c r="M21" s="1176"/>
    </row>
    <row r="22" spans="1:13" ht="15">
      <c r="A22" s="775">
        <v>2008</v>
      </c>
      <c r="B22" s="770">
        <v>15437.253867346535</v>
      </c>
      <c r="C22" s="771">
        <v>4494.896012311768</v>
      </c>
      <c r="D22" s="771">
        <v>6357.319264341718</v>
      </c>
      <c r="E22" s="771">
        <v>674.9454520000002</v>
      </c>
      <c r="F22" s="772">
        <f t="shared" si="0"/>
        <v>26964.41459600002</v>
      </c>
      <c r="G22" s="773">
        <v>1868.652467</v>
      </c>
      <c r="H22" s="774">
        <f t="shared" si="1"/>
        <v>28833.06706300002</v>
      </c>
      <c r="I22" s="95"/>
      <c r="J22" s="1176"/>
      <c r="K22" s="1176"/>
      <c r="L22" s="1176"/>
      <c r="M22" s="1176"/>
    </row>
    <row r="23" spans="1:13" ht="15">
      <c r="A23" s="1140">
        <v>2009</v>
      </c>
      <c r="B23" s="1137">
        <v>14942.95020594519</v>
      </c>
      <c r="C23" s="1138">
        <v>4815.08100910374</v>
      </c>
      <c r="D23" s="1138">
        <v>6644.5992379510635</v>
      </c>
      <c r="E23" s="1138">
        <v>684.375324</v>
      </c>
      <c r="F23" s="1139">
        <f t="shared" si="0"/>
        <v>27087.005776999995</v>
      </c>
      <c r="G23" s="1187">
        <v>2022.8330379999998</v>
      </c>
      <c r="H23" s="1188">
        <f t="shared" si="1"/>
        <v>29109.838814999996</v>
      </c>
      <c r="I23" s="95"/>
      <c r="J23" s="1176"/>
      <c r="K23" s="1176"/>
      <c r="L23" s="1176"/>
      <c r="M23" s="1176"/>
    </row>
    <row r="24" spans="1:19" ht="15">
      <c r="A24" s="776">
        <v>2010</v>
      </c>
      <c r="B24" s="777">
        <v>16434.708415297537</v>
      </c>
      <c r="C24" s="778">
        <v>5205.824371189548</v>
      </c>
      <c r="D24" s="778">
        <v>7086.245333512921</v>
      </c>
      <c r="E24" s="778">
        <v>709.3970040000002</v>
      </c>
      <c r="F24" s="779">
        <f t="shared" si="0"/>
        <v>29436.175124000005</v>
      </c>
      <c r="G24" s="606">
        <v>2362.192134000001</v>
      </c>
      <c r="H24" s="780">
        <f t="shared" si="1"/>
        <v>31798.367258000006</v>
      </c>
      <c r="I24" s="95"/>
      <c r="J24" s="1176"/>
      <c r="K24" s="1176"/>
      <c r="L24" s="1176"/>
      <c r="M24" s="1176"/>
      <c r="N24" s="24"/>
      <c r="O24" s="24"/>
      <c r="P24" s="24"/>
      <c r="Q24" s="24"/>
      <c r="R24" s="24"/>
      <c r="S24" s="24"/>
    </row>
    <row r="25" spans="1:19" ht="15">
      <c r="A25" s="1140">
        <v>2011</v>
      </c>
      <c r="B25" s="1137">
        <v>17715.382638943745</v>
      </c>
      <c r="C25" s="1138">
        <v>5628.067812810757</v>
      </c>
      <c r="D25" s="1138">
        <v>7719.016555798429</v>
      </c>
      <c r="E25" s="1138">
        <v>733.0809304470631</v>
      </c>
      <c r="F25" s="1139">
        <f t="shared" si="0"/>
        <v>31795.547937999996</v>
      </c>
      <c r="G25" s="1187">
        <v>2454.29310680803</v>
      </c>
      <c r="H25" s="1188">
        <f t="shared" si="1"/>
        <v>34249.841044808025</v>
      </c>
      <c r="I25" s="95"/>
      <c r="N25" s="24"/>
      <c r="O25" s="24"/>
      <c r="P25" s="24"/>
      <c r="Q25" s="24"/>
      <c r="R25" s="24"/>
      <c r="S25" s="24"/>
    </row>
    <row r="26" spans="1:19" ht="15.75" thickBot="1">
      <c r="A26" s="1142"/>
      <c r="B26" s="1143"/>
      <c r="C26" s="1144"/>
      <c r="D26" s="1144"/>
      <c r="E26" s="1144"/>
      <c r="F26" s="1145"/>
      <c r="G26" s="1189"/>
      <c r="H26" s="1190"/>
      <c r="I26" s="95"/>
      <c r="J26" s="1038"/>
      <c r="K26" s="1038"/>
      <c r="L26" s="1038"/>
      <c r="M26" s="1038"/>
      <c r="N26" s="1191"/>
      <c r="O26" s="781"/>
      <c r="P26" s="1192"/>
      <c r="Q26" s="781"/>
      <c r="R26" s="1192"/>
      <c r="S26" s="781"/>
    </row>
    <row r="27" spans="1:14" ht="12.75">
      <c r="A27" s="1146" t="s">
        <v>167</v>
      </c>
      <c r="B27" s="1164">
        <f>(B25/B24)-1</f>
        <v>0.07792497385923491</v>
      </c>
      <c r="C27" s="1165">
        <f aca="true" t="shared" si="2" ref="C27:H27">(C25/C24)-1</f>
        <v>0.0811098130697645</v>
      </c>
      <c r="D27" s="1165">
        <f t="shared" si="2"/>
        <v>0.0892956978631474</v>
      </c>
      <c r="E27" s="1165">
        <f t="shared" si="2"/>
        <v>0.033385997281520696</v>
      </c>
      <c r="F27" s="1166">
        <f t="shared" si="2"/>
        <v>0.08015215305864709</v>
      </c>
      <c r="G27" s="1166">
        <f t="shared" si="2"/>
        <v>0.038989619634399064</v>
      </c>
      <c r="H27" s="1166">
        <f t="shared" si="2"/>
        <v>0.07709432899235624</v>
      </c>
      <c r="I27" s="95"/>
      <c r="J27" s="1038"/>
      <c r="K27" s="1038"/>
      <c r="L27" s="1038"/>
      <c r="M27" s="1038"/>
      <c r="N27" s="1191"/>
    </row>
    <row r="28" spans="1:14" ht="12.75">
      <c r="A28" s="1147" t="s">
        <v>171</v>
      </c>
      <c r="B28" s="1167">
        <f>((B25/B20)^(1/5))-1</f>
        <v>0.0785849352862904</v>
      </c>
      <c r="C28" s="1168">
        <f aca="true" t="shared" si="3" ref="C28:H28">((C25/C20)^(1/5))-1</f>
        <v>0.06511091648984624</v>
      </c>
      <c r="D28" s="1168">
        <f t="shared" si="3"/>
        <v>0.07389889675817574</v>
      </c>
      <c r="E28" s="1168">
        <f t="shared" si="3"/>
        <v>0.02627501589630188</v>
      </c>
      <c r="F28" s="1169">
        <f t="shared" si="3"/>
        <v>0.07362103223347427</v>
      </c>
      <c r="G28" s="1169">
        <f t="shared" si="3"/>
        <v>0.06924485991537188</v>
      </c>
      <c r="H28" s="1169">
        <f t="shared" si="3"/>
        <v>0.07330385205460987</v>
      </c>
      <c r="I28" s="95"/>
      <c r="J28" s="1038"/>
      <c r="K28" s="1038"/>
      <c r="L28" s="1038"/>
      <c r="M28" s="1038"/>
      <c r="N28" s="1191"/>
    </row>
    <row r="29" spans="1:19" ht="12.75">
      <c r="A29" s="1148" t="s">
        <v>169</v>
      </c>
      <c r="B29" s="1170">
        <f>(B25/B14)-1</f>
        <v>1.1152653627685258</v>
      </c>
      <c r="C29" s="1171">
        <f aca="true" t="shared" si="4" ref="C29:H29">(C25/C14)-1</f>
        <v>1.089619463933003</v>
      </c>
      <c r="D29" s="1171">
        <f t="shared" si="4"/>
        <v>0.9610119492388356</v>
      </c>
      <c r="E29" s="1171">
        <f t="shared" si="4"/>
        <v>0.3550680837797877</v>
      </c>
      <c r="F29" s="1172">
        <f t="shared" si="4"/>
        <v>1.0453090499381554</v>
      </c>
      <c r="G29" s="1172">
        <f t="shared" si="4"/>
        <v>0.5389350972800993</v>
      </c>
      <c r="H29" s="1172">
        <f t="shared" si="4"/>
        <v>0.9981943268931228</v>
      </c>
      <c r="I29" s="95"/>
      <c r="J29" s="1193"/>
      <c r="K29" s="1193"/>
      <c r="L29" s="1193"/>
      <c r="M29" s="1193"/>
      <c r="N29" s="1191"/>
      <c r="S29" s="24"/>
    </row>
    <row r="30" spans="1:15" ht="13.5" thickBot="1">
      <c r="A30" s="1149" t="s">
        <v>170</v>
      </c>
      <c r="B30" s="1173">
        <f>((B25/B14)^(1/11))-1</f>
        <v>0.07048016208016183</v>
      </c>
      <c r="C30" s="1174">
        <f aca="true" t="shared" si="5" ref="C30:H30">((C25/C14)^(1/11))-1</f>
        <v>0.06929372596293781</v>
      </c>
      <c r="D30" s="1174">
        <f t="shared" si="5"/>
        <v>0.06313670553356543</v>
      </c>
      <c r="E30" s="1174">
        <f t="shared" si="5"/>
        <v>0.028007930773835454</v>
      </c>
      <c r="F30" s="1175">
        <f t="shared" si="5"/>
        <v>0.06721227721405243</v>
      </c>
      <c r="G30" s="1175">
        <f t="shared" si="5"/>
        <v>0.03996812328531307</v>
      </c>
      <c r="H30" s="1175">
        <f t="shared" si="5"/>
        <v>0.0649536391801675</v>
      </c>
      <c r="I30" s="95"/>
      <c r="J30" s="1194"/>
      <c r="K30" s="1194"/>
      <c r="L30" s="1194"/>
      <c r="M30" s="1194"/>
      <c r="N30" s="1194"/>
      <c r="O30" s="781"/>
    </row>
    <row r="31" spans="1:14" ht="12.75">
      <c r="A31" t="s">
        <v>173</v>
      </c>
      <c r="B31" s="15"/>
      <c r="C31" s="15"/>
      <c r="D31" s="15"/>
      <c r="E31" s="15"/>
      <c r="F31" s="15"/>
      <c r="G31" s="15"/>
      <c r="I31" s="95"/>
      <c r="J31" s="1194"/>
      <c r="K31" s="1194"/>
      <c r="L31" s="1194"/>
      <c r="M31" s="1194"/>
      <c r="N31" s="1194"/>
    </row>
    <row r="32" spans="1:14" ht="15.75">
      <c r="A32" s="34"/>
      <c r="B32" s="105"/>
      <c r="C32" s="105"/>
      <c r="D32" s="105"/>
      <c r="E32" s="761"/>
      <c r="F32" s="782"/>
      <c r="G32" s="782"/>
      <c r="H32" s="782"/>
      <c r="I32" s="95"/>
      <c r="J32" s="1194"/>
      <c r="K32" s="1194"/>
      <c r="L32" s="1194"/>
      <c r="M32" s="1194"/>
      <c r="N32" s="1194"/>
    </row>
    <row r="33" spans="9:14" ht="12.75">
      <c r="I33" s="95"/>
      <c r="J33" s="1194"/>
      <c r="K33" s="1194"/>
      <c r="L33" s="1194"/>
      <c r="M33" s="1194"/>
      <c r="N33" s="1194"/>
    </row>
    <row r="34" spans="9:14" ht="12.75">
      <c r="I34" s="783"/>
      <c r="J34" s="1183"/>
      <c r="K34" s="1183"/>
      <c r="L34" s="1183"/>
      <c r="M34" s="1183"/>
      <c r="N34" s="1183"/>
    </row>
    <row r="35" spans="10:14" ht="12.75">
      <c r="J35" s="1195"/>
      <c r="K35" s="1195"/>
      <c r="L35" s="1195"/>
      <c r="M35" s="1195"/>
      <c r="N35" s="1195"/>
    </row>
  </sheetData>
  <sheetProtection password="B728" sheet="1"/>
  <mergeCells count="7">
    <mergeCell ref="B5:F5"/>
    <mergeCell ref="H5:H7"/>
    <mergeCell ref="B6:B7"/>
    <mergeCell ref="C6:C7"/>
    <mergeCell ref="D6:D7"/>
    <mergeCell ref="E6:E7"/>
    <mergeCell ref="F6:F7"/>
  </mergeCells>
  <printOptions/>
  <pageMargins left="0.9" right="0.07" top="0.94" bottom="1" header="0" footer="0"/>
  <pageSetup fitToHeight="1" fitToWidth="1" horizontalDpi="600" verticalDpi="6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Normal="80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8.57421875" style="0" customWidth="1"/>
    <col min="2" max="6" width="12.7109375" style="0" customWidth="1"/>
    <col min="7" max="8" width="10.7109375" style="0" customWidth="1"/>
    <col min="9" max="9" width="2.00390625" style="0" customWidth="1"/>
    <col min="10" max="10" width="12.8515625" style="0" customWidth="1"/>
    <col min="11" max="13" width="11.28125" style="0" bestFit="1" customWidth="1"/>
    <col min="14" max="14" width="12.8515625" style="0" bestFit="1" customWidth="1"/>
    <col min="15" max="17" width="10.7109375" style="0" customWidth="1"/>
    <col min="21" max="21" width="12.57421875" style="0" bestFit="1" customWidth="1"/>
  </cols>
  <sheetData>
    <row r="1" spans="1:2" ht="15.75">
      <c r="A1" s="761"/>
      <c r="B1" s="761"/>
    </row>
    <row r="2" spans="1:23" ht="15.75">
      <c r="A2" s="784" t="s">
        <v>158</v>
      </c>
      <c r="B2" s="104"/>
      <c r="C2" s="104"/>
      <c r="D2" s="104"/>
      <c r="E2" s="104"/>
      <c r="F2" s="10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763"/>
      <c r="B3" s="763"/>
      <c r="C3" s="763"/>
      <c r="D3" s="763"/>
      <c r="E3" s="763"/>
      <c r="F3" s="76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05"/>
    </row>
    <row r="4" spans="9:23" ht="13.5" thickBot="1"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05"/>
    </row>
    <row r="5" spans="1:23" ht="16.5" customHeight="1" thickBot="1">
      <c r="A5" s="785"/>
      <c r="B5" s="1649" t="s">
        <v>159</v>
      </c>
      <c r="C5" s="1650"/>
      <c r="D5" s="1650"/>
      <c r="E5" s="1650"/>
      <c r="F5" s="165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05"/>
    </row>
    <row r="6" spans="1:23" ht="12.75" customHeight="1">
      <c r="A6" s="786" t="s">
        <v>47</v>
      </c>
      <c r="B6" s="1652" t="s">
        <v>152</v>
      </c>
      <c r="C6" s="1654" t="s">
        <v>153</v>
      </c>
      <c r="D6" s="1654" t="s">
        <v>154</v>
      </c>
      <c r="E6" s="1656" t="s">
        <v>155</v>
      </c>
      <c r="F6" s="1658" t="s">
        <v>55</v>
      </c>
      <c r="G6" s="9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05"/>
    </row>
    <row r="7" spans="1:23" ht="15.75" customHeight="1" thickBot="1">
      <c r="A7" s="787"/>
      <c r="B7" s="1653"/>
      <c r="C7" s="1655"/>
      <c r="D7" s="1655"/>
      <c r="E7" s="1657"/>
      <c r="F7" s="1659"/>
      <c r="G7" s="9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05"/>
    </row>
    <row r="8" spans="1:7" ht="12.75">
      <c r="A8" s="769"/>
      <c r="B8" s="770"/>
      <c r="C8" s="771"/>
      <c r="D8" s="771"/>
      <c r="E8" s="771"/>
      <c r="F8" s="772"/>
      <c r="G8" s="95"/>
    </row>
    <row r="9" spans="1:12" ht="12.75">
      <c r="A9" s="1136">
        <v>1995</v>
      </c>
      <c r="B9" s="1137">
        <v>229035.54403785348</v>
      </c>
      <c r="C9" s="1138">
        <v>200811.42160772084</v>
      </c>
      <c r="D9" s="1138">
        <v>355896.20422925544</v>
      </c>
      <c r="E9" s="1138">
        <v>40932.83181491251</v>
      </c>
      <c r="F9" s="1139">
        <f aca="true" t="shared" si="0" ref="F9:F25">B9+C9+D9+E9</f>
        <v>826676.0016897422</v>
      </c>
      <c r="G9" s="95"/>
      <c r="I9" s="1176"/>
      <c r="J9" s="1176"/>
      <c r="K9" s="1176"/>
      <c r="L9" s="1176"/>
    </row>
    <row r="10" spans="1:12" ht="12.75">
      <c r="A10" s="769">
        <v>1996</v>
      </c>
      <c r="B10" s="770">
        <v>258447.72612741796</v>
      </c>
      <c r="C10" s="771">
        <v>213222.6714817289</v>
      </c>
      <c r="D10" s="771">
        <v>372677.7759955188</v>
      </c>
      <c r="E10" s="771">
        <v>49022.22153615176</v>
      </c>
      <c r="F10" s="772">
        <f t="shared" si="0"/>
        <v>893370.3951408174</v>
      </c>
      <c r="G10" s="95"/>
      <c r="I10" s="1176"/>
      <c r="J10" s="1176"/>
      <c r="K10" s="1176"/>
      <c r="L10" s="1176"/>
    </row>
    <row r="11" spans="1:12" ht="12.75">
      <c r="A11" s="1136">
        <v>1997</v>
      </c>
      <c r="B11" s="1137">
        <v>355516.10470524785</v>
      </c>
      <c r="C11" s="1138">
        <v>221239.00181128312</v>
      </c>
      <c r="D11" s="1138">
        <v>392117.28436542355</v>
      </c>
      <c r="E11" s="1138">
        <v>50665.14573498242</v>
      </c>
      <c r="F11" s="1139">
        <f t="shared" si="0"/>
        <v>1019537.5366169369</v>
      </c>
      <c r="G11" s="95"/>
      <c r="I11" s="1176"/>
      <c r="J11" s="1176"/>
      <c r="K11" s="1176"/>
      <c r="L11" s="1176"/>
    </row>
    <row r="12" spans="1:12" ht="12.75">
      <c r="A12" s="769">
        <v>1998</v>
      </c>
      <c r="B12" s="770">
        <v>405108.5881039902</v>
      </c>
      <c r="C12" s="771">
        <v>175416.57536486135</v>
      </c>
      <c r="D12" s="771">
        <v>362781.2183589289</v>
      </c>
      <c r="E12" s="771">
        <v>44838.588717470884</v>
      </c>
      <c r="F12" s="772">
        <f t="shared" si="0"/>
        <v>988144.9705452513</v>
      </c>
      <c r="G12" s="95"/>
      <c r="I12" s="1176"/>
      <c r="J12" s="1176"/>
      <c r="K12" s="1176"/>
      <c r="L12" s="1176"/>
    </row>
    <row r="13" spans="1:12" ht="12.75">
      <c r="A13" s="1136">
        <v>1999</v>
      </c>
      <c r="B13" s="1137">
        <v>419536.4476394161</v>
      </c>
      <c r="C13" s="1138">
        <v>170042.7141646184</v>
      </c>
      <c r="D13" s="1138">
        <v>358196.5456484213</v>
      </c>
      <c r="E13" s="1138">
        <v>44183.660814274546</v>
      </c>
      <c r="F13" s="1139">
        <f t="shared" si="0"/>
        <v>991959.3682667303</v>
      </c>
      <c r="G13" s="95"/>
      <c r="I13" s="1176"/>
      <c r="J13" s="1176"/>
      <c r="K13" s="1176"/>
      <c r="L13" s="1176"/>
    </row>
    <row r="14" spans="1:12" ht="12.75">
      <c r="A14" s="769">
        <v>2000</v>
      </c>
      <c r="B14" s="770">
        <v>470947.3194047269</v>
      </c>
      <c r="C14" s="771">
        <v>197172.92008066195</v>
      </c>
      <c r="D14" s="771">
        <v>396689.5818287808</v>
      </c>
      <c r="E14" s="771">
        <v>48259.678954052164</v>
      </c>
      <c r="F14" s="772">
        <f t="shared" si="0"/>
        <v>1113069.5002682218</v>
      </c>
      <c r="G14" s="95"/>
      <c r="I14" s="1176"/>
      <c r="J14" s="1176"/>
      <c r="K14" s="1176"/>
      <c r="L14" s="1176"/>
    </row>
    <row r="15" spans="1:12" ht="12.75">
      <c r="A15" s="1136">
        <v>2001</v>
      </c>
      <c r="B15" s="1137">
        <v>479868.2340975174</v>
      </c>
      <c r="C15" s="1138">
        <v>202560.16293720153</v>
      </c>
      <c r="D15" s="1138">
        <v>406024.2542681364</v>
      </c>
      <c r="E15" s="1138">
        <v>50905.86253569314</v>
      </c>
      <c r="F15" s="1139">
        <f t="shared" si="0"/>
        <v>1139358.5138385484</v>
      </c>
      <c r="G15" s="95"/>
      <c r="I15" s="1176"/>
      <c r="J15" s="1176"/>
      <c r="K15" s="1176"/>
      <c r="L15" s="1176"/>
    </row>
    <row r="16" spans="1:12" ht="12.75">
      <c r="A16" s="769">
        <v>2002</v>
      </c>
      <c r="B16" s="770">
        <v>488098.27845652425</v>
      </c>
      <c r="C16" s="771">
        <v>223817.5306764326</v>
      </c>
      <c r="D16" s="771">
        <v>400798.0547307923</v>
      </c>
      <c r="E16" s="771">
        <v>44353.29640398425</v>
      </c>
      <c r="F16" s="772">
        <f t="shared" si="0"/>
        <v>1157067.1602677335</v>
      </c>
      <c r="G16" s="95"/>
      <c r="I16" s="1176"/>
      <c r="J16" s="1176"/>
      <c r="K16" s="1176"/>
      <c r="L16" s="1176"/>
    </row>
    <row r="17" spans="1:12" ht="12.75">
      <c r="A17" s="1136">
        <v>2003</v>
      </c>
      <c r="B17" s="1137">
        <v>506532.8631156623</v>
      </c>
      <c r="C17" s="1138">
        <v>238398.63946284784</v>
      </c>
      <c r="D17" s="1138">
        <v>427974.9681613485</v>
      </c>
      <c r="E17" s="1138">
        <v>44303.67292973665</v>
      </c>
      <c r="F17" s="1139">
        <f t="shared" si="0"/>
        <v>1217210.1436695952</v>
      </c>
      <c r="G17" s="95"/>
      <c r="I17" s="1176"/>
      <c r="J17" s="1176"/>
      <c r="K17" s="1176"/>
      <c r="L17" s="1176"/>
    </row>
    <row r="18" spans="1:13" ht="12.75">
      <c r="A18" s="769">
        <v>2004</v>
      </c>
      <c r="B18" s="770">
        <v>596267.0443261712</v>
      </c>
      <c r="C18" s="771">
        <v>257743.9102776775</v>
      </c>
      <c r="D18" s="771">
        <v>470011.6333799953</v>
      </c>
      <c r="E18" s="771">
        <v>58277.423826264436</v>
      </c>
      <c r="F18" s="772">
        <f t="shared" si="0"/>
        <v>1382300.0118101083</v>
      </c>
      <c r="G18" s="95"/>
      <c r="I18" s="1176"/>
      <c r="J18" s="1176"/>
      <c r="K18" s="1176"/>
      <c r="L18" s="1176"/>
      <c r="M18" s="1176"/>
    </row>
    <row r="19" spans="1:13" ht="12.75">
      <c r="A19" s="1136">
        <v>2005</v>
      </c>
      <c r="B19" s="1137">
        <v>669716.05900216</v>
      </c>
      <c r="C19" s="1138">
        <v>300420.25850854366</v>
      </c>
      <c r="D19" s="1138">
        <v>544065.3677454039</v>
      </c>
      <c r="E19" s="1138">
        <v>65007.58584027138</v>
      </c>
      <c r="F19" s="1139">
        <f t="shared" si="0"/>
        <v>1579209.2710963788</v>
      </c>
      <c r="G19" s="95"/>
      <c r="I19" s="1176"/>
      <c r="J19" s="1176"/>
      <c r="K19" s="1176"/>
      <c r="L19" s="1176"/>
      <c r="M19" s="1176"/>
    </row>
    <row r="20" spans="1:13" ht="12.75">
      <c r="A20" s="775">
        <v>2006</v>
      </c>
      <c r="B20" s="770">
        <v>715993.8422671348</v>
      </c>
      <c r="C20" s="771">
        <v>317868.59748703917</v>
      </c>
      <c r="D20" s="771">
        <v>579597.9869781262</v>
      </c>
      <c r="E20" s="771">
        <v>69708.47757360786</v>
      </c>
      <c r="F20" s="772">
        <f t="shared" si="0"/>
        <v>1683168.9043059081</v>
      </c>
      <c r="G20" s="95"/>
      <c r="I20" s="1176"/>
      <c r="J20" s="1176"/>
      <c r="K20" s="1176"/>
      <c r="L20" s="1176"/>
      <c r="M20" s="1176"/>
    </row>
    <row r="21" spans="1:13" ht="12.75">
      <c r="A21" s="1140">
        <v>2007</v>
      </c>
      <c r="B21" s="1137">
        <v>794759.591697835</v>
      </c>
      <c r="C21" s="1138">
        <v>340153.5027192707</v>
      </c>
      <c r="D21" s="1138">
        <v>628258.8982124339</v>
      </c>
      <c r="E21" s="1138">
        <v>67459.67080470189</v>
      </c>
      <c r="F21" s="1139">
        <f t="shared" si="0"/>
        <v>1830631.6634342417</v>
      </c>
      <c r="G21" s="95"/>
      <c r="I21" s="1176"/>
      <c r="J21" s="1176"/>
      <c r="K21" s="1176"/>
      <c r="L21" s="1176"/>
      <c r="M21" s="1176"/>
    </row>
    <row r="22" spans="1:13" ht="12.75">
      <c r="A22" s="775">
        <v>2008</v>
      </c>
      <c r="B22" s="770">
        <v>1027831.8916520025</v>
      </c>
      <c r="C22" s="771">
        <v>399555.0703387963</v>
      </c>
      <c r="D22" s="771">
        <v>716691.0101019627</v>
      </c>
      <c r="E22" s="771">
        <v>72022.00109060491</v>
      </c>
      <c r="F22" s="772">
        <f t="shared" si="0"/>
        <v>2216099.9731833665</v>
      </c>
      <c r="G22" s="95"/>
      <c r="I22" s="1177"/>
      <c r="J22" s="1176"/>
      <c r="K22" s="1176"/>
      <c r="L22" s="1176"/>
      <c r="M22" s="1176"/>
    </row>
    <row r="23" spans="1:13" ht="12.75">
      <c r="A23" s="1141">
        <v>2009</v>
      </c>
      <c r="B23" s="1137">
        <v>910151.8288537087</v>
      </c>
      <c r="C23" s="1138">
        <v>454550.7666593908</v>
      </c>
      <c r="D23" s="1138">
        <v>792475.9295777844</v>
      </c>
      <c r="E23" s="1138">
        <v>78879.62873892274</v>
      </c>
      <c r="F23" s="1139">
        <f t="shared" si="0"/>
        <v>2236058.1538298065</v>
      </c>
      <c r="G23" s="95"/>
      <c r="I23" s="1177"/>
      <c r="J23" s="1176"/>
      <c r="K23" s="1176"/>
      <c r="L23" s="1176"/>
      <c r="M23" s="1176"/>
    </row>
    <row r="24" spans="1:13" ht="12.75">
      <c r="A24" s="788">
        <v>2010</v>
      </c>
      <c r="B24" s="777">
        <v>971594.0860168211</v>
      </c>
      <c r="C24" s="778">
        <v>526340.0543340939</v>
      </c>
      <c r="D24" s="778">
        <v>864962.4236910528</v>
      </c>
      <c r="E24" s="778">
        <v>85638.46416099064</v>
      </c>
      <c r="F24" s="779">
        <f t="shared" si="0"/>
        <v>2448535.0282029584</v>
      </c>
      <c r="G24" s="95"/>
      <c r="I24" s="1177"/>
      <c r="J24" s="1176"/>
      <c r="K24" s="1176"/>
      <c r="L24" s="1176"/>
      <c r="M24" s="1176"/>
    </row>
    <row r="25" spans="1:13" ht="12.75">
      <c r="A25" s="1141">
        <v>2011</v>
      </c>
      <c r="B25" s="1137">
        <v>1134629.4075945443</v>
      </c>
      <c r="C25" s="1138">
        <v>563784.9927254843</v>
      </c>
      <c r="D25" s="1138">
        <v>991651.4878342674</v>
      </c>
      <c r="E25" s="1138">
        <v>90372.43210036402</v>
      </c>
      <c r="F25" s="1139">
        <f t="shared" si="0"/>
        <v>2780438.32025466</v>
      </c>
      <c r="G25" s="95"/>
      <c r="I25" s="1177"/>
      <c r="J25" s="1176"/>
      <c r="K25" s="1176"/>
      <c r="L25" s="1176"/>
      <c r="M25" s="1176"/>
    </row>
    <row r="26" spans="1:7" ht="13.5" thickBot="1">
      <c r="A26" s="1142"/>
      <c r="B26" s="1143"/>
      <c r="C26" s="1144"/>
      <c r="D26" s="1144"/>
      <c r="E26" s="1144"/>
      <c r="F26" s="1145"/>
      <c r="G26" s="95"/>
    </row>
    <row r="27" spans="1:14" ht="12.75">
      <c r="A27" s="1146" t="s">
        <v>167</v>
      </c>
      <c r="B27" s="1164">
        <f>(B25/B24)-1</f>
        <v>0.1678018875620253</v>
      </c>
      <c r="C27" s="1165">
        <f>(C25/C24)-1</f>
        <v>0.07114210306256163</v>
      </c>
      <c r="D27" s="1165">
        <f>(D25/D24)-1</f>
        <v>0.14646770850760715</v>
      </c>
      <c r="E27" s="1165">
        <f>(E25/E24)-1</f>
        <v>0.055278524501257476</v>
      </c>
      <c r="F27" s="1166">
        <f>(F25/F24)-1</f>
        <v>0.1355517843235814</v>
      </c>
      <c r="G27" s="95"/>
      <c r="J27" s="1178"/>
      <c r="K27" s="1178"/>
      <c r="L27" s="1178"/>
      <c r="M27" s="1178"/>
      <c r="N27" s="1179"/>
    </row>
    <row r="28" spans="1:14" ht="12.75">
      <c r="A28" s="1147" t="s">
        <v>171</v>
      </c>
      <c r="B28" s="1167">
        <f>((B25/B20)^(1/5))-1</f>
        <v>0.09645029729659971</v>
      </c>
      <c r="C28" s="1168">
        <f>((C25/C20)^(1/5))-1</f>
        <v>0.1214326006423947</v>
      </c>
      <c r="D28" s="1168">
        <f>((D25/D20)^(1/5))-1</f>
        <v>0.11338775303581206</v>
      </c>
      <c r="E28" s="1168">
        <f>((E25/E20)^(1/5))-1</f>
        <v>0.05329512578389273</v>
      </c>
      <c r="F28" s="1169">
        <f>((F25/F20)^(1/5))-1</f>
        <v>0.10559766608889798</v>
      </c>
      <c r="G28" s="95"/>
      <c r="J28" s="1178"/>
      <c r="K28" s="1178"/>
      <c r="L28" s="1178"/>
      <c r="M28" s="1178"/>
      <c r="N28" s="1179"/>
    </row>
    <row r="29" spans="1:14" ht="12.75">
      <c r="A29" s="1148" t="s">
        <v>169</v>
      </c>
      <c r="B29" s="1170">
        <f>(B25/B14)-1</f>
        <v>1.4092491046104807</v>
      </c>
      <c r="C29" s="1171">
        <f>(C25/C14)-1</f>
        <v>1.859342918362441</v>
      </c>
      <c r="D29" s="1171">
        <f>(D25/D14)-1</f>
        <v>1.4998173212985564</v>
      </c>
      <c r="E29" s="1171">
        <f>(E25/E14)-1</f>
        <v>0.8726281247417171</v>
      </c>
      <c r="F29" s="1172">
        <f>(F25/F14)-1</f>
        <v>1.4979916524391732</v>
      </c>
      <c r="G29" s="95"/>
      <c r="J29" s="1178"/>
      <c r="K29" s="1178"/>
      <c r="L29" s="1178"/>
      <c r="M29" s="1178"/>
      <c r="N29" s="1179"/>
    </row>
    <row r="30" spans="1:14" ht="13.5" thickBot="1">
      <c r="A30" s="1149" t="s">
        <v>170</v>
      </c>
      <c r="B30" s="1173">
        <f>((B25/B14)^(1/11))-1</f>
        <v>0.08321962275617101</v>
      </c>
      <c r="C30" s="1174">
        <f>((C25/C14)^(1/11))-1</f>
        <v>0.10021800877705989</v>
      </c>
      <c r="D30" s="1174">
        <f>((D25/D14)^(1/11))-1</f>
        <v>0.08685968409595168</v>
      </c>
      <c r="E30" s="1174">
        <f>((E25/E14)^(1/11))-1</f>
        <v>0.05868880810425048</v>
      </c>
      <c r="F30" s="1175">
        <f>((F25/F14)^(1/11))-1</f>
        <v>0.08678750046195538</v>
      </c>
      <c r="G30" s="95"/>
      <c r="J30" s="1180"/>
      <c r="K30" s="1180"/>
      <c r="L30" s="1180"/>
      <c r="M30" s="1180"/>
      <c r="N30" s="1181"/>
    </row>
    <row r="31" spans="1:14" ht="12.75">
      <c r="A31" t="s">
        <v>173</v>
      </c>
      <c r="B31" s="15"/>
      <c r="C31" s="15"/>
      <c r="D31" s="15"/>
      <c r="E31" s="15"/>
      <c r="F31" s="15"/>
      <c r="G31" s="95"/>
      <c r="J31" s="1182"/>
      <c r="K31" s="1182"/>
      <c r="L31" s="1182"/>
      <c r="M31" s="1182"/>
      <c r="N31" s="1182"/>
    </row>
    <row r="32" spans="1:14" ht="15.75">
      <c r="A32" s="34"/>
      <c r="B32" s="105"/>
      <c r="C32" s="105"/>
      <c r="D32" s="105"/>
      <c r="E32" s="761"/>
      <c r="F32" s="782"/>
      <c r="G32" s="95"/>
      <c r="J32" s="1182"/>
      <c r="K32" s="1182"/>
      <c r="L32" s="1182"/>
      <c r="M32" s="1182"/>
      <c r="N32" s="1182"/>
    </row>
    <row r="33" spans="7:16" ht="12.75">
      <c r="G33" s="95"/>
      <c r="J33" s="1184"/>
      <c r="K33" s="1184"/>
      <c r="L33" s="1184"/>
      <c r="M33" s="1184"/>
      <c r="N33" s="1185"/>
      <c r="O33" s="15"/>
      <c r="P33" s="15"/>
    </row>
    <row r="34" spans="7:16" ht="12.75">
      <c r="G34" s="783"/>
      <c r="J34" s="1184"/>
      <c r="K34" s="1184"/>
      <c r="L34" s="1184"/>
      <c r="M34" s="1184"/>
      <c r="N34" s="1185"/>
      <c r="O34" s="15"/>
      <c r="P34" s="15"/>
    </row>
    <row r="35" spans="10:16" ht="12.75">
      <c r="J35" s="1186"/>
      <c r="K35" s="1186"/>
      <c r="L35" s="1186"/>
      <c r="M35" s="1186"/>
      <c r="N35" s="1186"/>
      <c r="O35" s="15"/>
      <c r="P35" s="15"/>
    </row>
    <row r="36" spans="10:16" ht="12.75">
      <c r="J36" s="1185"/>
      <c r="K36" s="1185"/>
      <c r="L36" s="1185"/>
      <c r="M36" s="1185"/>
      <c r="N36" s="1185"/>
      <c r="O36" s="15"/>
      <c r="P36" s="15"/>
    </row>
    <row r="37" spans="10:16" ht="12.75">
      <c r="J37" s="1185"/>
      <c r="K37" s="1185"/>
      <c r="L37" s="1185"/>
      <c r="M37" s="1185"/>
      <c r="N37" s="1185"/>
      <c r="O37" s="15"/>
      <c r="P37" s="15"/>
    </row>
    <row r="38" spans="10:16" ht="12.75">
      <c r="J38" s="15"/>
      <c r="K38" s="15"/>
      <c r="L38" s="15"/>
      <c r="M38" s="15"/>
      <c r="N38" s="15"/>
      <c r="O38" s="15"/>
      <c r="P38" s="15"/>
    </row>
  </sheetData>
  <sheetProtection password="B728" sheet="1"/>
  <mergeCells count="6">
    <mergeCell ref="B5:F5"/>
    <mergeCell ref="B6:B7"/>
    <mergeCell ref="C6:C7"/>
    <mergeCell ref="D6:D7"/>
    <mergeCell ref="E6:E7"/>
    <mergeCell ref="F6:F7"/>
  </mergeCells>
  <printOptions/>
  <pageMargins left="0.9" right="0.04" top="0.94" bottom="1" header="0" footer="0"/>
  <pageSetup horizontalDpi="600" verticalDpi="600" orientation="portrait" paperSize="9" scale="8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2.140625" style="0" bestFit="1" customWidth="1"/>
    <col min="13" max="13" width="17.00390625" style="0" bestFit="1" customWidth="1"/>
    <col min="14" max="14" width="12.00390625" style="0" bestFit="1" customWidth="1"/>
    <col min="15" max="17" width="10.7109375" style="0" customWidth="1"/>
    <col min="21" max="21" width="12.57421875" style="0" bestFit="1" customWidth="1"/>
  </cols>
  <sheetData>
    <row r="1" spans="1:2" ht="15.75">
      <c r="A1" s="761"/>
      <c r="B1" s="761"/>
    </row>
    <row r="2" spans="1:23" ht="15.75">
      <c r="A2" s="784" t="s">
        <v>160</v>
      </c>
      <c r="B2" s="789"/>
      <c r="C2" s="26"/>
      <c r="D2" s="26"/>
      <c r="E2" s="26"/>
      <c r="F2" s="2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763"/>
      <c r="B3" s="763"/>
      <c r="C3" s="763"/>
      <c r="D3" s="763"/>
      <c r="E3" s="763"/>
      <c r="F3" s="76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05"/>
    </row>
    <row r="4" spans="9:23" ht="13.5" thickBot="1"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05"/>
    </row>
    <row r="5" spans="1:23" ht="16.5" customHeight="1" thickBot="1">
      <c r="A5" s="785"/>
      <c r="B5" s="1128" t="s">
        <v>161</v>
      </c>
      <c r="C5" s="1129"/>
      <c r="D5" s="1129"/>
      <c r="E5" s="1129"/>
      <c r="F5" s="113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05"/>
    </row>
    <row r="6" spans="1:23" ht="12.75" customHeight="1">
      <c r="A6" s="786" t="s">
        <v>47</v>
      </c>
      <c r="B6" s="786" t="s">
        <v>152</v>
      </c>
      <c r="C6" s="1134" t="s">
        <v>153</v>
      </c>
      <c r="D6" s="1134" t="s">
        <v>154</v>
      </c>
      <c r="E6" s="1131" t="s">
        <v>155</v>
      </c>
      <c r="F6" s="1126" t="s">
        <v>162</v>
      </c>
      <c r="G6" s="9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05"/>
    </row>
    <row r="7" spans="1:23" ht="15.75" customHeight="1" thickBot="1">
      <c r="A7" s="787"/>
      <c r="B7" s="1133"/>
      <c r="C7" s="1135"/>
      <c r="D7" s="1135"/>
      <c r="E7" s="1132"/>
      <c r="F7" s="1127"/>
      <c r="G7" s="9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05"/>
    </row>
    <row r="8" spans="1:7" ht="12.75">
      <c r="A8" s="769"/>
      <c r="B8" s="770"/>
      <c r="C8" s="771"/>
      <c r="D8" s="771"/>
      <c r="E8" s="771"/>
      <c r="F8" s="772"/>
      <c r="G8" s="95"/>
    </row>
    <row r="9" spans="1:7" ht="12.75">
      <c r="A9" s="1136">
        <v>1995</v>
      </c>
      <c r="B9" s="1137">
        <v>5.7782302810253094</v>
      </c>
      <c r="C9" s="1138">
        <v>8.930236767278458</v>
      </c>
      <c r="D9" s="1138">
        <v>11.283446398970833</v>
      </c>
      <c r="E9" s="1138">
        <v>8.480380509442004</v>
      </c>
      <c r="F9" s="1139">
        <v>8.393283624979105</v>
      </c>
      <c r="G9" s="673"/>
    </row>
    <row r="10" spans="1:7" ht="12.75">
      <c r="A10" s="769">
        <v>1996</v>
      </c>
      <c r="B10" s="770">
        <v>6.003018190974908</v>
      </c>
      <c r="C10" s="771">
        <v>9.069490468416461</v>
      </c>
      <c r="D10" s="771">
        <v>11.700802658519068</v>
      </c>
      <c r="E10" s="771">
        <v>10.015867859658382</v>
      </c>
      <c r="F10" s="772">
        <v>8.647646690205814</v>
      </c>
      <c r="G10" s="95"/>
    </row>
    <row r="11" spans="1:7" ht="12.75">
      <c r="A11" s="1136">
        <v>1997</v>
      </c>
      <c r="B11" s="1137">
        <v>5.86841218488873</v>
      </c>
      <c r="C11" s="1138">
        <v>8.920555677874598</v>
      </c>
      <c r="D11" s="1138">
        <v>11.582177535507025</v>
      </c>
      <c r="E11" s="1138">
        <v>9.605258607546249</v>
      </c>
      <c r="F11" s="1139">
        <v>8.188247240008057</v>
      </c>
      <c r="G11" s="95"/>
    </row>
    <row r="12" spans="1:7" ht="12.75">
      <c r="A12" s="769">
        <v>1998</v>
      </c>
      <c r="B12" s="770">
        <v>5.42034791739235</v>
      </c>
      <c r="C12" s="771">
        <v>7.431544947493249</v>
      </c>
      <c r="D12" s="771">
        <v>9.96843399442005</v>
      </c>
      <c r="E12" s="771">
        <v>8.380024919859448</v>
      </c>
      <c r="F12" s="772">
        <v>7.0538222851775645</v>
      </c>
      <c r="G12" s="95"/>
    </row>
    <row r="13" spans="1:7" ht="12.75">
      <c r="A13" s="1136">
        <v>1999</v>
      </c>
      <c r="B13" s="1137">
        <v>5.340603488459393</v>
      </c>
      <c r="C13" s="1138">
        <v>7.02568748356065</v>
      </c>
      <c r="D13" s="1138">
        <v>9.494434904668308</v>
      </c>
      <c r="E13" s="1138">
        <v>8.132461037046669</v>
      </c>
      <c r="F13" s="1139">
        <v>6.798013749180917</v>
      </c>
      <c r="G13" s="95"/>
    </row>
    <row r="14" spans="1:7" ht="12.75">
      <c r="A14" s="769">
        <v>2000</v>
      </c>
      <c r="B14" s="770">
        <v>5.623240393552686</v>
      </c>
      <c r="C14" s="771">
        <v>7.32074284220981</v>
      </c>
      <c r="D14" s="771">
        <v>10.077877207303533</v>
      </c>
      <c r="E14" s="771">
        <v>8.920590888132166</v>
      </c>
      <c r="F14" s="772">
        <v>7.160031104190919</v>
      </c>
      <c r="G14" s="95"/>
    </row>
    <row r="15" spans="1:7" ht="12.75">
      <c r="A15" s="1136">
        <v>2001</v>
      </c>
      <c r="B15" s="1137">
        <v>5.170681855739894</v>
      </c>
      <c r="C15" s="1138">
        <v>7.33328016400444</v>
      </c>
      <c r="D15" s="1138">
        <v>10.040241931531753</v>
      </c>
      <c r="E15" s="1138">
        <v>9.391850960397145</v>
      </c>
      <c r="F15" s="1139">
        <v>6.851736911514183</v>
      </c>
      <c r="G15" s="95"/>
    </row>
    <row r="16" spans="1:7" ht="12.75">
      <c r="A16" s="769">
        <v>2002</v>
      </c>
      <c r="B16" s="770">
        <v>5.101571642227621</v>
      </c>
      <c r="C16" s="771">
        <v>7.428110464437447</v>
      </c>
      <c r="D16" s="771">
        <v>8.97669069848606</v>
      </c>
      <c r="E16" s="771">
        <v>7.924064483903257</v>
      </c>
      <c r="F16" s="772">
        <v>6.572256424100436</v>
      </c>
      <c r="G16" s="95"/>
    </row>
    <row r="17" spans="1:7" ht="12.75">
      <c r="A17" s="1136">
        <v>2003</v>
      </c>
      <c r="B17" s="1137">
        <v>5.045811028696983</v>
      </c>
      <c r="C17" s="1138">
        <v>7.1353528490967735</v>
      </c>
      <c r="D17" s="1138">
        <v>9.671012358653732</v>
      </c>
      <c r="E17" s="1138">
        <v>7.7695003248875425</v>
      </c>
      <c r="F17" s="1139">
        <v>6.624152034461948</v>
      </c>
      <c r="G17" s="95"/>
    </row>
    <row r="18" spans="1:7" ht="12.75">
      <c r="A18" s="769">
        <v>2004</v>
      </c>
      <c r="B18" s="770">
        <v>5.380562684656785</v>
      </c>
      <c r="C18" s="771">
        <v>7.7661883737661785</v>
      </c>
      <c r="D18" s="771">
        <v>9.957854254756237</v>
      </c>
      <c r="E18" s="771">
        <v>9.673280906557887</v>
      </c>
      <c r="F18" s="772">
        <v>7.0379541088956685</v>
      </c>
      <c r="G18" s="95"/>
    </row>
    <row r="19" spans="1:7" ht="12.75">
      <c r="A19" s="1140">
        <v>2005</v>
      </c>
      <c r="B19" s="1137">
        <v>5.771045156535736</v>
      </c>
      <c r="C19" s="1138">
        <v>8.469438388136206</v>
      </c>
      <c r="D19" s="1138">
        <v>10.83636761874177</v>
      </c>
      <c r="E19" s="1138">
        <v>10.2855760316503</v>
      </c>
      <c r="F19" s="1139">
        <v>7.628520665665924</v>
      </c>
      <c r="G19" s="95"/>
    </row>
    <row r="20" spans="1:7" ht="12.75">
      <c r="A20" s="775">
        <v>2006</v>
      </c>
      <c r="B20" s="770">
        <v>5.732124833700338</v>
      </c>
      <c r="C20" s="771">
        <v>8.19559620434823</v>
      </c>
      <c r="D20" s="771">
        <v>10.756475285056688</v>
      </c>
      <c r="E20" s="771">
        <v>10.825611995897283</v>
      </c>
      <c r="F20" s="772">
        <v>7.551208104601234</v>
      </c>
      <c r="G20" s="95"/>
    </row>
    <row r="21" spans="1:7" ht="12.75">
      <c r="A21" s="1140">
        <v>2007</v>
      </c>
      <c r="B21" s="1137">
        <v>5.597572426714631</v>
      </c>
      <c r="C21" s="1138">
        <v>8.25688295854472</v>
      </c>
      <c r="D21" s="1138">
        <v>10.68990130553876</v>
      </c>
      <c r="E21" s="1138">
        <v>10.292187443523428</v>
      </c>
      <c r="F21" s="1139">
        <v>7.404944110282578</v>
      </c>
      <c r="G21" s="95"/>
    </row>
    <row r="22" spans="1:7" ht="12.75">
      <c r="A22" s="775">
        <v>2008</v>
      </c>
      <c r="B22" s="770">
        <v>6.658126506723528</v>
      </c>
      <c r="C22" s="771">
        <v>8.8890837350718</v>
      </c>
      <c r="D22" s="771">
        <v>11.273478337353472</v>
      </c>
      <c r="E22" s="771">
        <v>10.67078841366945</v>
      </c>
      <c r="F22" s="772">
        <v>8.218609624523832</v>
      </c>
      <c r="G22" s="95"/>
    </row>
    <row r="23" spans="1:14" ht="12.75">
      <c r="A23" s="1140">
        <v>2009</v>
      </c>
      <c r="B23" s="1137">
        <v>6.090844286502383</v>
      </c>
      <c r="C23" s="1138">
        <v>9.440147856287034</v>
      </c>
      <c r="D23" s="1138">
        <v>11.926617410595755</v>
      </c>
      <c r="E23" s="1138">
        <v>11.525785044073674</v>
      </c>
      <c r="F23" s="1139">
        <v>8.255095348074532</v>
      </c>
      <c r="G23" s="95"/>
      <c r="J23" s="1162"/>
      <c r="K23" s="1162"/>
      <c r="L23" s="1162"/>
      <c r="M23" s="1162"/>
      <c r="N23" s="1162"/>
    </row>
    <row r="24" spans="1:14" ht="12.75">
      <c r="A24" s="775">
        <v>2010</v>
      </c>
      <c r="B24" s="770">
        <v>5.911842555797673</v>
      </c>
      <c r="C24" s="771">
        <v>10.110599528616511</v>
      </c>
      <c r="D24" s="771">
        <v>12.206216169236948</v>
      </c>
      <c r="E24" s="771">
        <v>12.072008153137142</v>
      </c>
      <c r="F24" s="772">
        <v>8.318115440910699</v>
      </c>
      <c r="G24" s="673"/>
      <c r="J24" s="1162"/>
      <c r="K24" s="1162"/>
      <c r="L24" s="1162"/>
      <c r="M24" s="1162"/>
      <c r="N24" s="1162"/>
    </row>
    <row r="25" spans="1:14" ht="12.75">
      <c r="A25" s="1140">
        <v>2011</v>
      </c>
      <c r="B25" s="1137">
        <v>6.404769407014033</v>
      </c>
      <c r="C25" s="1138">
        <v>10.017380946302424</v>
      </c>
      <c r="D25" s="1138">
        <v>12.84686307725757</v>
      </c>
      <c r="E25" s="1138">
        <v>12.327756506399801</v>
      </c>
      <c r="F25" s="1139">
        <v>8.744741011151623</v>
      </c>
      <c r="G25" s="673"/>
      <c r="J25" s="1163"/>
      <c r="K25" s="1163"/>
      <c r="L25" s="1163"/>
      <c r="M25" s="1163"/>
      <c r="N25" s="1163"/>
    </row>
    <row r="26" spans="1:7" ht="13.5" thickBot="1">
      <c r="A26" s="1142"/>
      <c r="B26" s="1143"/>
      <c r="C26" s="1144"/>
      <c r="D26" s="1144"/>
      <c r="E26" s="1144"/>
      <c r="F26" s="1145"/>
      <c r="G26" s="673"/>
    </row>
    <row r="27" spans="1:7" ht="12.75">
      <c r="A27" s="1146" t="s">
        <v>167</v>
      </c>
      <c r="B27" s="1164">
        <f>(B25/B24)-1</f>
        <v>0.083379563404129</v>
      </c>
      <c r="C27" s="1165">
        <f>(C25/C24)-1</f>
        <v>-0.009219886718907833</v>
      </c>
      <c r="D27" s="1165">
        <f>(D25/D24)-1</f>
        <v>0.05248529922280332</v>
      </c>
      <c r="E27" s="1165">
        <f>(E25/E24)-1</f>
        <v>0.021185236956305253</v>
      </c>
      <c r="F27" s="1166">
        <f>(F25/F24)-1</f>
        <v>0.05128872919251237</v>
      </c>
      <c r="G27" s="673"/>
    </row>
    <row r="28" spans="1:7" ht="12.75">
      <c r="A28" s="1147" t="s">
        <v>171</v>
      </c>
      <c r="B28" s="1167">
        <f>((B25/B20)^(1/5))-1</f>
        <v>0.022439387973182567</v>
      </c>
      <c r="C28" s="1168">
        <f>((C25/C20)^(1/5))-1</f>
        <v>0.040961643804886316</v>
      </c>
      <c r="D28" s="1168">
        <f>((D25/D20)^(1/5))-1</f>
        <v>0.03615665888093034</v>
      </c>
      <c r="E28" s="1168">
        <f>((E25/E20)^(1/5))-1</f>
        <v>0.026328332531794896</v>
      </c>
      <c r="F28" s="1169">
        <f>((F25/F20)^(1/5))-1</f>
        <v>0.029783911543631136</v>
      </c>
      <c r="G28" s="95"/>
    </row>
    <row r="29" spans="1:7" ht="12.75">
      <c r="A29" s="1148" t="s">
        <v>169</v>
      </c>
      <c r="B29" s="1170">
        <f>(B25/B14)-1</f>
        <v>0.13898196747153269</v>
      </c>
      <c r="C29" s="1171">
        <f>(C25/C14)-1</f>
        <v>0.3683558024391165</v>
      </c>
      <c r="D29" s="1171">
        <f>(D25/D14)-1</f>
        <v>0.27475884186675015</v>
      </c>
      <c r="E29" s="1171">
        <f>(E25/E14)-1</f>
        <v>0.3819439385792798</v>
      </c>
      <c r="F29" s="1172">
        <f>(F25/F14)-1</f>
        <v>0.2213272378150899</v>
      </c>
      <c r="G29" s="95"/>
    </row>
    <row r="30" spans="1:7" ht="13.5" thickBot="1">
      <c r="A30" s="1149" t="s">
        <v>170</v>
      </c>
      <c r="B30" s="1173">
        <f>((B25/B14)^(1/11))-1</f>
        <v>0.011900697581591624</v>
      </c>
      <c r="C30" s="1174">
        <f>((C25/C14)^(1/11))-1</f>
        <v>0.028920288283066142</v>
      </c>
      <c r="D30" s="1174">
        <f>((D25/D14)^(1/11))-1</f>
        <v>0.02231413743774402</v>
      </c>
      <c r="E30" s="1174">
        <f>((E25/E14)^(1/11))-1</f>
        <v>0.029844981164026674</v>
      </c>
      <c r="F30" s="1175">
        <f>((F25/F14)^(1/11))-1</f>
        <v>0.018342389481316612</v>
      </c>
      <c r="G30" s="95"/>
    </row>
    <row r="31" spans="1:7" ht="12.75">
      <c r="A31" t="s">
        <v>173</v>
      </c>
      <c r="B31" s="15"/>
      <c r="C31" s="15"/>
      <c r="D31" s="15"/>
      <c r="E31" s="15"/>
      <c r="F31" s="15"/>
      <c r="G31" s="95"/>
    </row>
    <row r="32" spans="1:7" ht="15.75">
      <c r="A32" s="34"/>
      <c r="B32" s="105"/>
      <c r="C32" s="105"/>
      <c r="D32" s="105"/>
      <c r="E32" s="761"/>
      <c r="F32" s="782"/>
      <c r="G32" s="95"/>
    </row>
    <row r="33" spans="1:7" ht="15.75">
      <c r="A33" s="34" t="s">
        <v>163</v>
      </c>
      <c r="B33" s="105"/>
      <c r="C33" s="105"/>
      <c r="D33" s="105"/>
      <c r="E33" s="761"/>
      <c r="F33" s="782"/>
      <c r="G33" s="95"/>
    </row>
    <row r="34" spans="1:7" ht="15.75">
      <c r="A34" s="34"/>
      <c r="B34" s="105"/>
      <c r="C34" s="105"/>
      <c r="D34" s="105"/>
      <c r="E34" s="761"/>
      <c r="F34" s="782"/>
      <c r="G34" s="95"/>
    </row>
    <row r="35" ht="12.75">
      <c r="G35" s="95"/>
    </row>
    <row r="36" ht="12.75">
      <c r="G36" s="783"/>
    </row>
  </sheetData>
  <sheetProtection password="B728" sheet="1"/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96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11.421875" defaultRowHeight="12.75"/>
  <cols>
    <col min="1" max="1" width="7.28125" style="0" customWidth="1"/>
    <col min="2" max="2" width="21.8515625" style="0" customWidth="1"/>
    <col min="3" max="3" width="12.7109375" style="0" customWidth="1"/>
    <col min="4" max="4" width="10.7109375" style="0" customWidth="1"/>
    <col min="5" max="5" width="12.00390625" style="0" customWidth="1"/>
    <col min="6" max="6" width="13.28125" style="0" customWidth="1"/>
    <col min="7" max="7" width="12.7109375" style="0" customWidth="1"/>
    <col min="8" max="8" width="10.8515625" style="0" customWidth="1"/>
    <col min="9" max="10" width="12.421875" style="0" customWidth="1"/>
    <col min="11" max="11" width="12.57421875" style="0" customWidth="1"/>
    <col min="12" max="12" width="9.8515625" style="0" customWidth="1"/>
    <col min="13" max="13" width="11.7109375" style="0" customWidth="1"/>
    <col min="14" max="14" width="12.421875" style="0" customWidth="1"/>
    <col min="15" max="15" width="13.140625" style="0" customWidth="1"/>
    <col min="16" max="16" width="16.57421875" style="0" customWidth="1"/>
    <col min="17" max="17" width="14.57421875" style="0" customWidth="1"/>
    <col min="19" max="19" width="12.7109375" style="0" customWidth="1"/>
  </cols>
  <sheetData>
    <row r="6" spans="2:4" ht="20.25">
      <c r="B6" s="102"/>
      <c r="C6" s="102"/>
      <c r="D6" s="102"/>
    </row>
    <row r="8" spans="1:15" ht="20.25">
      <c r="A8" s="102" t="s">
        <v>50</v>
      </c>
      <c r="D8" s="10"/>
      <c r="E8" s="103"/>
      <c r="F8" s="103"/>
      <c r="G8" s="103"/>
      <c r="H8" s="103"/>
      <c r="I8" s="103"/>
      <c r="J8" s="103"/>
      <c r="K8" s="104"/>
      <c r="L8" s="104"/>
      <c r="M8" s="104"/>
      <c r="N8" s="104"/>
      <c r="O8" s="104"/>
    </row>
    <row r="9" ht="12.75">
      <c r="O9" s="15"/>
    </row>
    <row r="10" ht="13.5" thickBot="1">
      <c r="Q10" s="24"/>
    </row>
    <row r="11" spans="2:17" ht="12.75">
      <c r="B11" s="1573" t="s">
        <v>47</v>
      </c>
      <c r="C11" s="853"/>
      <c r="D11" s="1575" t="s">
        <v>51</v>
      </c>
      <c r="E11" s="1576"/>
      <c r="F11" s="1576"/>
      <c r="G11" s="1577"/>
      <c r="H11" s="1578" t="s">
        <v>52</v>
      </c>
      <c r="I11" s="1576"/>
      <c r="J11" s="1576"/>
      <c r="K11" s="1577"/>
      <c r="L11" s="1578" t="s">
        <v>53</v>
      </c>
      <c r="M11" s="1576"/>
      <c r="N11" s="1576"/>
      <c r="O11" s="1579"/>
      <c r="P11" s="1568" t="s">
        <v>175</v>
      </c>
      <c r="Q11" s="854"/>
    </row>
    <row r="12" spans="2:18" ht="12.75" customHeight="1">
      <c r="B12" s="1574"/>
      <c r="C12" s="855" t="s">
        <v>54</v>
      </c>
      <c r="D12" s="856" t="s">
        <v>55</v>
      </c>
      <c r="E12" s="857" t="s">
        <v>56</v>
      </c>
      <c r="F12" s="858" t="s">
        <v>57</v>
      </c>
      <c r="G12" s="859" t="s">
        <v>58</v>
      </c>
      <c r="H12" s="860" t="s">
        <v>55</v>
      </c>
      <c r="I12" s="684" t="s">
        <v>56</v>
      </c>
      <c r="J12" s="683" t="s">
        <v>57</v>
      </c>
      <c r="K12" s="684" t="s">
        <v>58</v>
      </c>
      <c r="L12" s="860" t="s">
        <v>55</v>
      </c>
      <c r="M12" s="687" t="s">
        <v>56</v>
      </c>
      <c r="N12" s="683" t="s">
        <v>57</v>
      </c>
      <c r="O12" s="861" t="s">
        <v>58</v>
      </c>
      <c r="P12" s="1569"/>
      <c r="Q12" s="862"/>
      <c r="R12" s="24"/>
    </row>
    <row r="13" spans="2:19" ht="12.75">
      <c r="B13" s="863"/>
      <c r="C13" s="864" t="s">
        <v>55</v>
      </c>
      <c r="D13" s="865"/>
      <c r="E13" s="866"/>
      <c r="F13" s="867"/>
      <c r="G13" s="868"/>
      <c r="H13" s="869"/>
      <c r="I13" s="692"/>
      <c r="J13" s="691"/>
      <c r="K13" s="692"/>
      <c r="L13" s="694"/>
      <c r="M13" s="695"/>
      <c r="N13" s="691"/>
      <c r="O13" s="870"/>
      <c r="P13" s="1570"/>
      <c r="Q13" s="862"/>
      <c r="R13" s="24"/>
      <c r="S13" s="26"/>
    </row>
    <row r="14" spans="2:19" ht="12.75">
      <c r="B14" s="871"/>
      <c r="C14" s="872"/>
      <c r="D14" s="873"/>
      <c r="E14" s="874"/>
      <c r="F14" s="875"/>
      <c r="G14" s="876"/>
      <c r="H14" s="877"/>
      <c r="I14" s="874"/>
      <c r="J14" s="875"/>
      <c r="K14" s="874"/>
      <c r="L14" s="877"/>
      <c r="M14" s="878"/>
      <c r="N14" s="875"/>
      <c r="O14" s="879"/>
      <c r="P14" s="880"/>
      <c r="Q14" s="862"/>
      <c r="R14" s="24"/>
      <c r="S14" s="26"/>
    </row>
    <row r="15" spans="2:22" ht="12.75">
      <c r="B15" s="881">
        <v>1995</v>
      </c>
      <c r="C15" s="882">
        <v>295.166629</v>
      </c>
      <c r="D15" s="883">
        <v>220.87862900000002</v>
      </c>
      <c r="E15" s="884">
        <v>46.06673899999999</v>
      </c>
      <c r="F15" s="885">
        <v>11.41265</v>
      </c>
      <c r="G15" s="886">
        <v>163.39924000000002</v>
      </c>
      <c r="H15" s="887">
        <v>154.712999</v>
      </c>
      <c r="I15" s="884">
        <v>38.418108999999994</v>
      </c>
      <c r="J15" s="885">
        <v>11.41265</v>
      </c>
      <c r="K15" s="884">
        <v>104.88224000000001</v>
      </c>
      <c r="L15" s="887">
        <v>66.16563000000001</v>
      </c>
      <c r="M15" s="888">
        <v>7.64863</v>
      </c>
      <c r="N15" s="885"/>
      <c r="O15" s="889">
        <v>58.517</v>
      </c>
      <c r="P15" s="890">
        <v>74.288</v>
      </c>
      <c r="Q15" s="13"/>
      <c r="S15" s="105"/>
      <c r="T15" s="106"/>
      <c r="U15" s="106"/>
      <c r="V15" s="106"/>
    </row>
    <row r="16" spans="2:22" ht="12.75">
      <c r="B16" s="891">
        <v>1996</v>
      </c>
      <c r="C16" s="892">
        <v>508.847377</v>
      </c>
      <c r="D16" s="893">
        <v>372.897377</v>
      </c>
      <c r="E16" s="894">
        <v>163.01889699999998</v>
      </c>
      <c r="F16" s="895">
        <v>16.601</v>
      </c>
      <c r="G16" s="896">
        <v>193.27748000000003</v>
      </c>
      <c r="H16" s="897">
        <v>176.976207</v>
      </c>
      <c r="I16" s="894">
        <v>65.26743699999999</v>
      </c>
      <c r="J16" s="895">
        <v>16.601</v>
      </c>
      <c r="K16" s="894">
        <v>95.10777</v>
      </c>
      <c r="L16" s="897">
        <v>195.92117000000002</v>
      </c>
      <c r="M16" s="898">
        <v>97.75146000000001</v>
      </c>
      <c r="N16" s="895"/>
      <c r="O16" s="899">
        <v>98.16971000000001</v>
      </c>
      <c r="P16" s="880">
        <v>135.95</v>
      </c>
      <c r="Q16" s="13"/>
      <c r="S16" s="105"/>
      <c r="T16" s="106"/>
      <c r="U16" s="106"/>
      <c r="V16" s="106"/>
    </row>
    <row r="17" spans="2:22" ht="12.75">
      <c r="B17" s="881">
        <v>1997</v>
      </c>
      <c r="C17" s="882">
        <v>594.183881</v>
      </c>
      <c r="D17" s="883">
        <v>547.625881</v>
      </c>
      <c r="E17" s="884">
        <v>343.444131</v>
      </c>
      <c r="F17" s="885">
        <v>32.72078</v>
      </c>
      <c r="G17" s="886">
        <v>171.46097</v>
      </c>
      <c r="H17" s="887">
        <v>207.889966</v>
      </c>
      <c r="I17" s="884">
        <v>103.237176</v>
      </c>
      <c r="J17" s="885">
        <v>32.72078</v>
      </c>
      <c r="K17" s="884">
        <v>71.93200999999999</v>
      </c>
      <c r="L17" s="887">
        <v>339.73591500000003</v>
      </c>
      <c r="M17" s="888">
        <v>240.20695500000002</v>
      </c>
      <c r="N17" s="885"/>
      <c r="O17" s="889">
        <v>99.52896000000001</v>
      </c>
      <c r="P17" s="890">
        <v>46.558</v>
      </c>
      <c r="Q17" s="900"/>
      <c r="S17" s="105"/>
      <c r="T17" s="106"/>
      <c r="U17" s="106"/>
      <c r="V17" s="106"/>
    </row>
    <row r="18" spans="2:22" ht="12.75">
      <c r="B18" s="891">
        <v>1998</v>
      </c>
      <c r="C18" s="892">
        <v>612.999431</v>
      </c>
      <c r="D18" s="893">
        <v>561.511431</v>
      </c>
      <c r="E18" s="894">
        <v>365.363241</v>
      </c>
      <c r="F18" s="895">
        <v>59.643269999999994</v>
      </c>
      <c r="G18" s="896">
        <v>136.50492</v>
      </c>
      <c r="H18" s="897">
        <v>202.79134299999998</v>
      </c>
      <c r="I18" s="894">
        <v>114.539113</v>
      </c>
      <c r="J18" s="895">
        <v>46.155269999999994</v>
      </c>
      <c r="K18" s="894">
        <v>42.096959999999996</v>
      </c>
      <c r="L18" s="897">
        <v>358.72008800000003</v>
      </c>
      <c r="M18" s="898">
        <v>250.824128</v>
      </c>
      <c r="N18" s="895">
        <v>13.488</v>
      </c>
      <c r="O18" s="899">
        <v>94.40796</v>
      </c>
      <c r="P18" s="880">
        <v>51.488</v>
      </c>
      <c r="Q18" s="900"/>
      <c r="S18" s="105"/>
      <c r="T18" s="106"/>
      <c r="U18" s="106"/>
      <c r="V18" s="106"/>
    </row>
    <row r="19" spans="2:22" ht="12.75">
      <c r="B19" s="881">
        <v>1999</v>
      </c>
      <c r="C19" s="882">
        <v>764.1792280118343</v>
      </c>
      <c r="D19" s="883">
        <v>709.5392280118343</v>
      </c>
      <c r="E19" s="884">
        <v>417.232328</v>
      </c>
      <c r="F19" s="885">
        <v>170.80662</v>
      </c>
      <c r="G19" s="886">
        <v>121.50028001183432</v>
      </c>
      <c r="H19" s="887">
        <v>201.72455901183432</v>
      </c>
      <c r="I19" s="884">
        <v>136.331909</v>
      </c>
      <c r="J19" s="885">
        <v>31.3179</v>
      </c>
      <c r="K19" s="884">
        <v>34.07475001183432</v>
      </c>
      <c r="L19" s="887">
        <v>507.814669</v>
      </c>
      <c r="M19" s="888">
        <v>280.900419</v>
      </c>
      <c r="N19" s="885">
        <v>139.48872</v>
      </c>
      <c r="O19" s="889">
        <v>87.42553</v>
      </c>
      <c r="P19" s="890">
        <v>54.64</v>
      </c>
      <c r="Q19" s="900"/>
      <c r="S19" s="105"/>
      <c r="T19" s="106"/>
      <c r="U19" s="106"/>
      <c r="V19" s="106"/>
    </row>
    <row r="20" spans="2:22" ht="12.75">
      <c r="B20" s="891">
        <v>2000</v>
      </c>
      <c r="C20" s="892">
        <v>659.2139999999999</v>
      </c>
      <c r="D20" s="893">
        <v>605.803</v>
      </c>
      <c r="E20" s="894">
        <v>337.658</v>
      </c>
      <c r="F20" s="895">
        <v>128.939</v>
      </c>
      <c r="G20" s="896">
        <v>139.206</v>
      </c>
      <c r="H20" s="897">
        <v>165.994</v>
      </c>
      <c r="I20" s="894">
        <v>123.216</v>
      </c>
      <c r="J20" s="895">
        <v>26.69</v>
      </c>
      <c r="K20" s="894">
        <v>16.088</v>
      </c>
      <c r="L20" s="897">
        <v>439.809</v>
      </c>
      <c r="M20" s="898">
        <v>214.442</v>
      </c>
      <c r="N20" s="901">
        <v>102.249</v>
      </c>
      <c r="O20" s="899">
        <v>123.118</v>
      </c>
      <c r="P20" s="880">
        <v>53.411</v>
      </c>
      <c r="Q20" s="900"/>
      <c r="S20" s="105"/>
      <c r="T20" s="106"/>
      <c r="U20" s="106"/>
      <c r="V20" s="106"/>
    </row>
    <row r="21" spans="2:22" ht="12.75">
      <c r="B21" s="881">
        <v>2001</v>
      </c>
      <c r="C21" s="882">
        <v>351.06397000000004</v>
      </c>
      <c r="D21" s="883">
        <v>305.89697</v>
      </c>
      <c r="E21" s="884">
        <v>109.77217999999999</v>
      </c>
      <c r="F21" s="885">
        <v>61.743</v>
      </c>
      <c r="G21" s="886">
        <v>134.38179</v>
      </c>
      <c r="H21" s="887">
        <v>95.05868</v>
      </c>
      <c r="I21" s="884">
        <v>76.27708</v>
      </c>
      <c r="J21" s="885">
        <v>3.116</v>
      </c>
      <c r="K21" s="884">
        <v>15.6656</v>
      </c>
      <c r="L21" s="887">
        <v>210.83829</v>
      </c>
      <c r="M21" s="888">
        <v>33.4951</v>
      </c>
      <c r="N21" s="902">
        <v>58.627</v>
      </c>
      <c r="O21" s="889">
        <v>118.71619</v>
      </c>
      <c r="P21" s="890">
        <v>45.167</v>
      </c>
      <c r="Q21" s="900"/>
      <c r="S21" s="105"/>
      <c r="T21" s="106"/>
      <c r="U21" s="106"/>
      <c r="V21" s="106"/>
    </row>
    <row r="22" spans="2:22" ht="12.75">
      <c r="B22" s="891">
        <v>2002</v>
      </c>
      <c r="C22" s="892">
        <v>259.529</v>
      </c>
      <c r="D22" s="893">
        <v>242.199</v>
      </c>
      <c r="E22" s="894">
        <v>107.84</v>
      </c>
      <c r="F22" s="895">
        <v>37.657000000000004</v>
      </c>
      <c r="G22" s="896">
        <v>96.702</v>
      </c>
      <c r="H22" s="897">
        <v>109.856</v>
      </c>
      <c r="I22" s="894">
        <v>77.798</v>
      </c>
      <c r="J22" s="895">
        <v>0.377</v>
      </c>
      <c r="K22" s="894">
        <v>31.681</v>
      </c>
      <c r="L22" s="897">
        <v>132.34300000000002</v>
      </c>
      <c r="M22" s="898">
        <v>30.042</v>
      </c>
      <c r="N22" s="901">
        <v>37.28</v>
      </c>
      <c r="O22" s="899">
        <v>65.021</v>
      </c>
      <c r="P22" s="880">
        <v>17.33</v>
      </c>
      <c r="Q22" s="663"/>
      <c r="S22" s="105"/>
      <c r="T22" s="106"/>
      <c r="U22" s="106"/>
      <c r="V22" s="106"/>
    </row>
    <row r="23" spans="2:22" ht="12.75">
      <c r="B23" s="881">
        <v>2003</v>
      </c>
      <c r="C23" s="882">
        <v>235.385</v>
      </c>
      <c r="D23" s="883">
        <v>191.957</v>
      </c>
      <c r="E23" s="884">
        <v>87.165</v>
      </c>
      <c r="F23" s="885">
        <v>12.826</v>
      </c>
      <c r="G23" s="886">
        <v>91.966</v>
      </c>
      <c r="H23" s="887">
        <v>110.832</v>
      </c>
      <c r="I23" s="884">
        <v>67.105</v>
      </c>
      <c r="J23" s="885"/>
      <c r="K23" s="884">
        <v>43.727</v>
      </c>
      <c r="L23" s="887">
        <v>81.125</v>
      </c>
      <c r="M23" s="888">
        <v>20.06</v>
      </c>
      <c r="N23" s="902">
        <v>12.826</v>
      </c>
      <c r="O23" s="889">
        <v>48.239</v>
      </c>
      <c r="P23" s="890">
        <v>43.428</v>
      </c>
      <c r="S23" s="105"/>
      <c r="T23" s="106"/>
      <c r="U23" s="106"/>
      <c r="V23" s="106"/>
    </row>
    <row r="24" spans="2:22" ht="12.75">
      <c r="B24" s="891">
        <v>2004</v>
      </c>
      <c r="C24" s="892">
        <v>323.773</v>
      </c>
      <c r="D24" s="893">
        <v>284.695</v>
      </c>
      <c r="E24" s="894">
        <v>159.566</v>
      </c>
      <c r="F24" s="895">
        <v>24.366</v>
      </c>
      <c r="G24" s="894">
        <v>100.763</v>
      </c>
      <c r="H24" s="897">
        <v>116.143</v>
      </c>
      <c r="I24" s="894">
        <v>67.001</v>
      </c>
      <c r="J24" s="895"/>
      <c r="K24" s="894">
        <v>49.142</v>
      </c>
      <c r="L24" s="897">
        <v>168.552</v>
      </c>
      <c r="M24" s="894">
        <v>92.565</v>
      </c>
      <c r="N24" s="901">
        <v>24.366</v>
      </c>
      <c r="O24" s="899">
        <v>51.621</v>
      </c>
      <c r="P24" s="880">
        <v>39.078</v>
      </c>
      <c r="S24" s="105"/>
      <c r="T24" s="106"/>
      <c r="U24" s="106"/>
      <c r="V24" s="106"/>
    </row>
    <row r="25" spans="2:22" ht="12.75">
      <c r="B25" s="881">
        <v>2005</v>
      </c>
      <c r="C25" s="882">
        <v>393.73589000000004</v>
      </c>
      <c r="D25" s="883">
        <v>348.49189</v>
      </c>
      <c r="E25" s="884">
        <v>193.49135</v>
      </c>
      <c r="F25" s="885">
        <v>20.6339</v>
      </c>
      <c r="G25" s="884">
        <v>134.36664</v>
      </c>
      <c r="H25" s="887">
        <v>117.43027</v>
      </c>
      <c r="I25" s="884">
        <v>53.766709999999996</v>
      </c>
      <c r="J25" s="885"/>
      <c r="K25" s="884">
        <v>63.66356</v>
      </c>
      <c r="L25" s="887">
        <v>231.06162000000003</v>
      </c>
      <c r="M25" s="884">
        <v>139.72464000000002</v>
      </c>
      <c r="N25" s="902">
        <v>20.6339</v>
      </c>
      <c r="O25" s="889">
        <v>70.70308</v>
      </c>
      <c r="P25" s="890">
        <v>45.244</v>
      </c>
      <c r="S25" s="105"/>
      <c r="T25" s="106"/>
      <c r="U25" s="106"/>
      <c r="V25" s="106"/>
    </row>
    <row r="26" spans="2:22" ht="12.75">
      <c r="B26" s="891">
        <v>2006</v>
      </c>
      <c r="C26" s="892">
        <v>480.15700000000004</v>
      </c>
      <c r="D26" s="893">
        <v>446.204</v>
      </c>
      <c r="E26" s="894">
        <v>289.575</v>
      </c>
      <c r="F26" s="895">
        <v>16.543</v>
      </c>
      <c r="G26" s="894">
        <v>140.086</v>
      </c>
      <c r="H26" s="897">
        <v>95.745</v>
      </c>
      <c r="I26" s="894">
        <v>29.198</v>
      </c>
      <c r="J26" s="895"/>
      <c r="K26" s="894">
        <v>66.547</v>
      </c>
      <c r="L26" s="897">
        <v>350.459</v>
      </c>
      <c r="M26" s="894">
        <v>260.377</v>
      </c>
      <c r="N26" s="901">
        <v>16.543</v>
      </c>
      <c r="O26" s="899">
        <v>73.539</v>
      </c>
      <c r="P26" s="880">
        <v>33.953</v>
      </c>
      <c r="R26" s="95"/>
      <c r="S26" s="105"/>
      <c r="T26" s="106"/>
      <c r="U26" s="106"/>
      <c r="V26" s="106"/>
    </row>
    <row r="27" spans="2:22" ht="12.75">
      <c r="B27" s="881">
        <v>2007</v>
      </c>
      <c r="C27" s="882">
        <v>629.00013</v>
      </c>
      <c r="D27" s="883">
        <v>539.07313</v>
      </c>
      <c r="E27" s="884">
        <v>318.0303</v>
      </c>
      <c r="F27" s="885">
        <v>69.63589999999999</v>
      </c>
      <c r="G27" s="884">
        <v>151.40693</v>
      </c>
      <c r="H27" s="887">
        <v>139.72556</v>
      </c>
      <c r="I27" s="884">
        <v>73.49929999999999</v>
      </c>
      <c r="J27" s="885"/>
      <c r="K27" s="884">
        <v>66.22626000000001</v>
      </c>
      <c r="L27" s="887">
        <v>399.34757</v>
      </c>
      <c r="M27" s="884">
        <v>244.531</v>
      </c>
      <c r="N27" s="902">
        <v>69.63589999999999</v>
      </c>
      <c r="O27" s="889">
        <v>85.18066999999999</v>
      </c>
      <c r="P27" s="890">
        <v>89.927</v>
      </c>
      <c r="R27" s="95"/>
      <c r="S27" s="105"/>
      <c r="T27" s="106"/>
      <c r="U27" s="106"/>
      <c r="V27" s="106"/>
    </row>
    <row r="28" spans="2:22" ht="12.75">
      <c r="B28" s="891">
        <v>2008</v>
      </c>
      <c r="C28" s="892">
        <v>862.007</v>
      </c>
      <c r="D28" s="893">
        <v>762.52</v>
      </c>
      <c r="E28" s="894">
        <v>483.51</v>
      </c>
      <c r="F28" s="895">
        <v>43.1</v>
      </c>
      <c r="G28" s="894">
        <v>235.91</v>
      </c>
      <c r="H28" s="897">
        <v>128.88</v>
      </c>
      <c r="I28" s="894">
        <v>26.5</v>
      </c>
      <c r="J28" s="895"/>
      <c r="K28" s="894">
        <v>102.38</v>
      </c>
      <c r="L28" s="897">
        <v>633.64</v>
      </c>
      <c r="M28" s="894">
        <v>457.01</v>
      </c>
      <c r="N28" s="901">
        <v>43.1</v>
      </c>
      <c r="O28" s="899">
        <v>133.53</v>
      </c>
      <c r="P28" s="880">
        <v>99.487</v>
      </c>
      <c r="R28" s="95"/>
      <c r="S28" s="105"/>
      <c r="T28" s="106"/>
      <c r="U28" s="106"/>
      <c r="V28" s="106"/>
    </row>
    <row r="29" spans="2:22" ht="12.75">
      <c r="B29" s="760">
        <v>2009</v>
      </c>
      <c r="C29" s="882">
        <v>1176.8417200000001</v>
      </c>
      <c r="D29" s="883">
        <v>992.11972</v>
      </c>
      <c r="E29" s="884">
        <v>448.38329999999996</v>
      </c>
      <c r="F29" s="885">
        <v>254.363</v>
      </c>
      <c r="G29" s="884">
        <v>289.37342</v>
      </c>
      <c r="H29" s="887">
        <v>250.289</v>
      </c>
      <c r="I29" s="182">
        <v>88.849</v>
      </c>
      <c r="J29" s="147"/>
      <c r="K29" s="182">
        <v>161.44</v>
      </c>
      <c r="L29" s="887">
        <v>741.8307199999999</v>
      </c>
      <c r="M29" s="182">
        <v>359.5343</v>
      </c>
      <c r="N29" s="149">
        <v>254.363</v>
      </c>
      <c r="O29" s="139">
        <v>127.93342</v>
      </c>
      <c r="P29" s="890">
        <v>184.722</v>
      </c>
      <c r="R29" s="95"/>
      <c r="S29" s="105"/>
      <c r="T29" s="106"/>
      <c r="U29" s="106"/>
      <c r="V29" s="106"/>
    </row>
    <row r="30" spans="2:22" ht="12.75">
      <c r="B30" s="903">
        <v>2010</v>
      </c>
      <c r="C30" s="904">
        <v>1367.7377822261485</v>
      </c>
      <c r="D30" s="905">
        <v>1144.3617822261485</v>
      </c>
      <c r="E30" s="906">
        <v>558.6333822261485</v>
      </c>
      <c r="F30" s="907">
        <v>332.5572</v>
      </c>
      <c r="G30" s="906">
        <v>253.1712</v>
      </c>
      <c r="H30" s="908">
        <v>165.6105822261484</v>
      </c>
      <c r="I30" s="906">
        <v>25.11388222614841</v>
      </c>
      <c r="J30" s="907"/>
      <c r="K30" s="906">
        <v>140.4967</v>
      </c>
      <c r="L30" s="908">
        <v>978.7512</v>
      </c>
      <c r="M30" s="906">
        <v>533.5195</v>
      </c>
      <c r="N30" s="909">
        <v>332.5572</v>
      </c>
      <c r="O30" s="910">
        <v>112.6745</v>
      </c>
      <c r="P30" s="911">
        <v>223.376</v>
      </c>
      <c r="R30" s="95"/>
      <c r="S30" s="105"/>
      <c r="T30" s="106"/>
      <c r="U30" s="106"/>
      <c r="V30" s="106"/>
    </row>
    <row r="31" spans="2:22" s="79" customFormat="1" ht="12.75">
      <c r="B31" s="912">
        <v>2011</v>
      </c>
      <c r="C31" s="913">
        <v>1880</v>
      </c>
      <c r="D31" s="914">
        <v>1748.7</v>
      </c>
      <c r="E31" s="915">
        <v>1240.8</v>
      </c>
      <c r="F31" s="916">
        <v>278.5</v>
      </c>
      <c r="G31" s="915">
        <v>229.4</v>
      </c>
      <c r="H31" s="917">
        <v>107</v>
      </c>
      <c r="I31" s="915">
        <v>28.6</v>
      </c>
      <c r="J31" s="916"/>
      <c r="K31" s="915">
        <v>78.4</v>
      </c>
      <c r="L31" s="917">
        <v>1641.7</v>
      </c>
      <c r="M31" s="915">
        <v>1212.2</v>
      </c>
      <c r="N31" s="918">
        <v>278.5</v>
      </c>
      <c r="O31" s="919">
        <v>151</v>
      </c>
      <c r="P31" s="920">
        <v>131.3</v>
      </c>
      <c r="R31" s="921"/>
      <c r="S31" s="105"/>
      <c r="T31" s="106"/>
      <c r="U31" s="106"/>
      <c r="V31" s="922"/>
    </row>
    <row r="32" spans="2:22" ht="13.5" thickBot="1">
      <c r="B32" s="923"/>
      <c r="C32" s="924"/>
      <c r="D32" s="925"/>
      <c r="E32" s="926"/>
      <c r="F32" s="927"/>
      <c r="G32" s="926"/>
      <c r="H32" s="928"/>
      <c r="I32" s="929"/>
      <c r="J32" s="930"/>
      <c r="K32" s="929"/>
      <c r="L32" s="928"/>
      <c r="M32" s="929"/>
      <c r="N32" s="931"/>
      <c r="O32" s="932"/>
      <c r="P32" s="933"/>
      <c r="R32" s="95"/>
      <c r="S32" s="105"/>
      <c r="T32" s="106"/>
      <c r="U32" s="106"/>
      <c r="V32" s="106"/>
    </row>
    <row r="33" spans="2:16" ht="12.75">
      <c r="B33" s="934" t="s">
        <v>167</v>
      </c>
      <c r="C33" s="1482">
        <v>0.3745324757645332</v>
      </c>
      <c r="D33" s="1483">
        <v>0.5281006646326663</v>
      </c>
      <c r="E33" s="1484">
        <v>1.2211347181856986</v>
      </c>
      <c r="F33" s="1485">
        <v>-0.16255008161002082</v>
      </c>
      <c r="G33" s="1484">
        <v>-0.09389377622731176</v>
      </c>
      <c r="H33" s="1486">
        <v>-0.3539060212113325</v>
      </c>
      <c r="I33" s="1487">
        <v>0.13881238043801414</v>
      </c>
      <c r="J33" s="1488"/>
      <c r="K33" s="1484">
        <v>-0.4419797760374443</v>
      </c>
      <c r="L33" s="1486">
        <v>0.6773414939363549</v>
      </c>
      <c r="M33" s="1484">
        <v>1.2720819014112887</v>
      </c>
      <c r="N33" s="1485">
        <v>-0.16255008161002082</v>
      </c>
      <c r="O33" s="1489">
        <v>0.34014351073224214</v>
      </c>
      <c r="P33" s="1490">
        <v>-0.41220184800515713</v>
      </c>
    </row>
    <row r="34" spans="2:16" ht="12.75">
      <c r="B34" s="935" t="s">
        <v>171</v>
      </c>
      <c r="C34" s="1491">
        <v>0.31387762545647147</v>
      </c>
      <c r="D34" s="1492">
        <v>0.3141240702837531</v>
      </c>
      <c r="E34" s="1493">
        <v>0.3377906120302874</v>
      </c>
      <c r="F34" s="1494">
        <v>0.758904200068869</v>
      </c>
      <c r="G34" s="1493">
        <v>0.10367126576184593</v>
      </c>
      <c r="H34" s="1356">
        <v>0.022476969962547555</v>
      </c>
      <c r="I34" s="1493">
        <v>-0.004130146577867033</v>
      </c>
      <c r="J34" s="1495"/>
      <c r="K34" s="1493">
        <v>0.033326378672984935</v>
      </c>
      <c r="L34" s="1356">
        <v>0.36185640013758813</v>
      </c>
      <c r="M34" s="1493">
        <v>0.3601735715543075</v>
      </c>
      <c r="N34" s="1494">
        <v>0.758904200068869</v>
      </c>
      <c r="O34" s="1496">
        <v>0.15476030213266334</v>
      </c>
      <c r="P34" s="1204">
        <v>0.3106215799533696</v>
      </c>
    </row>
    <row r="35" spans="2:18" ht="12.75">
      <c r="B35" s="934" t="s">
        <v>174</v>
      </c>
      <c r="C35" s="1497">
        <v>4.355149376337309</v>
      </c>
      <c r="D35" s="1498">
        <v>4.716630668162551</v>
      </c>
      <c r="E35" s="1290">
        <v>10.303410390501492</v>
      </c>
      <c r="F35" s="1291">
        <v>3.5106327842832385</v>
      </c>
      <c r="G35" s="1290">
        <v>0.7070765317235319</v>
      </c>
      <c r="H35" s="1499">
        <v>0.12562051145671282</v>
      </c>
      <c r="I35" s="1290">
        <v>-0.6250511949329995</v>
      </c>
      <c r="J35" s="1488">
        <v>-1</v>
      </c>
      <c r="K35" s="1290">
        <v>4.004596057603923</v>
      </c>
      <c r="L35" s="1288">
        <v>6.786536307043659</v>
      </c>
      <c r="M35" s="1290">
        <v>35.19036814340008</v>
      </c>
      <c r="N35" s="1291">
        <v>3.7503709894758384</v>
      </c>
      <c r="O35" s="1292">
        <v>0.27194108907976244</v>
      </c>
      <c r="P35" s="1500">
        <v>1.9069896163127948</v>
      </c>
      <c r="R35" s="1571"/>
    </row>
    <row r="36" spans="2:18" ht="13.5" thickBot="1">
      <c r="B36" s="936"/>
      <c r="C36" s="1501"/>
      <c r="D36" s="1502"/>
      <c r="E36" s="1503"/>
      <c r="F36" s="1504"/>
      <c r="G36" s="1503"/>
      <c r="H36" s="1505"/>
      <c r="I36" s="1503"/>
      <c r="J36" s="1506"/>
      <c r="K36" s="1503"/>
      <c r="L36" s="1505"/>
      <c r="M36" s="1503"/>
      <c r="N36" s="1504"/>
      <c r="O36" s="1507"/>
      <c r="P36" s="1214"/>
      <c r="R36" s="1572"/>
    </row>
    <row r="37" spans="2:18" ht="12.75">
      <c r="B37" s="107"/>
      <c r="C37" s="5"/>
      <c r="D37" s="5"/>
      <c r="R37" s="663"/>
    </row>
    <row r="38" spans="2:18" ht="12.75">
      <c r="B38" s="108" t="s">
        <v>59</v>
      </c>
      <c r="C38" s="108"/>
      <c r="D38" s="5"/>
      <c r="R38" s="663"/>
    </row>
    <row r="39" spans="2:4" ht="12.75">
      <c r="B39" s="34"/>
      <c r="C39" s="5"/>
      <c r="D39" s="5"/>
    </row>
    <row r="40" spans="2:4" ht="14.25">
      <c r="B40" s="109"/>
      <c r="C40" s="109"/>
      <c r="D40" s="109"/>
    </row>
    <row r="41" spans="2:4" ht="20.25">
      <c r="B41" s="102"/>
      <c r="C41" s="102"/>
      <c r="D41" s="110"/>
    </row>
    <row r="43" spans="20:22" ht="12.75">
      <c r="T43" s="106"/>
      <c r="U43" s="106"/>
      <c r="V43" s="106"/>
    </row>
    <row r="44" spans="19:22" ht="12.75">
      <c r="S44" s="105"/>
      <c r="T44" s="105"/>
      <c r="U44" s="105"/>
      <c r="V44" s="105"/>
    </row>
    <row r="45" spans="19:22" ht="12.75">
      <c r="S45" s="105"/>
      <c r="T45" s="105"/>
      <c r="U45" s="105"/>
      <c r="V45" s="105"/>
    </row>
    <row r="46" spans="19:22" ht="12.75">
      <c r="S46" s="105"/>
      <c r="T46" s="105"/>
      <c r="U46" s="105"/>
      <c r="V46" s="105"/>
    </row>
    <row r="47" spans="19:22" ht="12.75">
      <c r="S47" s="105"/>
      <c r="T47" s="105"/>
      <c r="U47" s="105"/>
      <c r="V47" s="105"/>
    </row>
    <row r="48" spans="19:22" ht="12.75">
      <c r="S48" s="105"/>
      <c r="T48" s="105"/>
      <c r="U48" s="105"/>
      <c r="V48" s="105"/>
    </row>
    <row r="49" spans="19:22" ht="12.75">
      <c r="S49" s="105"/>
      <c r="T49" s="105"/>
      <c r="U49" s="105"/>
      <c r="V49" s="105"/>
    </row>
    <row r="50" spans="19:22" ht="12.75">
      <c r="S50" s="105"/>
      <c r="T50" s="105"/>
      <c r="U50" s="105"/>
      <c r="V50" s="105"/>
    </row>
    <row r="51" spans="18:22" ht="12.75">
      <c r="R51" s="95"/>
      <c r="S51" s="105"/>
      <c r="T51" s="105"/>
      <c r="U51" s="105"/>
      <c r="V51" s="105"/>
    </row>
    <row r="52" spans="19:22" ht="12.75">
      <c r="S52" s="105"/>
      <c r="T52" s="105"/>
      <c r="U52" s="105"/>
      <c r="V52" s="105"/>
    </row>
    <row r="53" spans="19:22" ht="12.75">
      <c r="S53" s="105"/>
      <c r="T53" s="105"/>
      <c r="U53" s="105"/>
      <c r="V53" s="105"/>
    </row>
    <row r="54" spans="19:22" ht="12.75">
      <c r="S54" s="105"/>
      <c r="T54" s="105"/>
      <c r="U54" s="105"/>
      <c r="V54" s="105"/>
    </row>
    <row r="55" spans="19:22" ht="12.75">
      <c r="S55" s="105"/>
      <c r="T55" s="105"/>
      <c r="U55" s="105"/>
      <c r="V55" s="105"/>
    </row>
    <row r="56" spans="19:22" ht="12.75">
      <c r="S56" s="105"/>
      <c r="T56" s="105"/>
      <c r="U56" s="105"/>
      <c r="V56" s="105"/>
    </row>
    <row r="57" spans="19:22" ht="12.75">
      <c r="S57" s="105"/>
      <c r="T57" s="105"/>
      <c r="U57" s="105"/>
      <c r="V57" s="105"/>
    </row>
    <row r="58" spans="19:22" ht="12.75">
      <c r="S58" s="105"/>
      <c r="T58" s="105"/>
      <c r="U58" s="105"/>
      <c r="V58" s="105"/>
    </row>
    <row r="59" spans="19:22" ht="12.75">
      <c r="S59" s="105"/>
      <c r="T59" s="105"/>
      <c r="U59" s="105"/>
      <c r="V59" s="105"/>
    </row>
    <row r="60" spans="19:22" ht="12.75">
      <c r="S60" s="105"/>
      <c r="T60" s="105"/>
      <c r="U60" s="105"/>
      <c r="V60" s="105"/>
    </row>
    <row r="61" spans="19:22" ht="12.75">
      <c r="S61" s="105"/>
      <c r="T61" s="105"/>
      <c r="U61" s="105"/>
      <c r="V61" s="105"/>
    </row>
    <row r="62" spans="19:22" ht="12.75">
      <c r="S62" s="105"/>
      <c r="T62" s="105"/>
      <c r="U62" s="105"/>
      <c r="V62" s="105"/>
    </row>
    <row r="63" spans="19:22" ht="12.75">
      <c r="S63" s="105"/>
      <c r="T63" s="105"/>
      <c r="U63" s="105"/>
      <c r="V63" s="105"/>
    </row>
    <row r="64" spans="19:22" ht="12.75">
      <c r="S64" s="105"/>
      <c r="T64" s="105"/>
      <c r="U64" s="105"/>
      <c r="V64" s="105"/>
    </row>
    <row r="65" spans="19:22" ht="12.75">
      <c r="S65" s="105"/>
      <c r="T65" s="105"/>
      <c r="U65" s="105"/>
      <c r="V65" s="105"/>
    </row>
    <row r="66" spans="19:22" ht="12.75">
      <c r="S66" s="105"/>
      <c r="T66" s="105"/>
      <c r="U66" s="105"/>
      <c r="V66" s="105"/>
    </row>
    <row r="67" spans="19:22" ht="12.75">
      <c r="S67" s="105"/>
      <c r="T67" s="105"/>
      <c r="U67" s="105"/>
      <c r="V67" s="105"/>
    </row>
    <row r="68" spans="19:22" ht="12.75">
      <c r="S68" s="105"/>
      <c r="T68" s="105"/>
      <c r="U68" s="105"/>
      <c r="V68" s="105"/>
    </row>
    <row r="69" spans="19:22" ht="12.75">
      <c r="S69" s="105"/>
      <c r="T69" s="105"/>
      <c r="U69" s="105"/>
      <c r="V69" s="105"/>
    </row>
    <row r="70" spans="19:22" ht="12.75">
      <c r="S70" s="105"/>
      <c r="T70" s="105"/>
      <c r="U70" s="105"/>
      <c r="V70" s="105"/>
    </row>
    <row r="71" spans="19:22" ht="12.75">
      <c r="S71" s="105"/>
      <c r="T71" s="105"/>
      <c r="U71" s="105"/>
      <c r="V71" s="105"/>
    </row>
    <row r="72" spans="19:22" ht="12.75">
      <c r="S72" s="105"/>
      <c r="T72" s="105"/>
      <c r="U72" s="105"/>
      <c r="V72" s="105"/>
    </row>
    <row r="73" spans="19:22" ht="12.75">
      <c r="S73" s="105"/>
      <c r="T73" s="105"/>
      <c r="U73" s="105"/>
      <c r="V73" s="105"/>
    </row>
    <row r="74" spans="19:22" ht="12.75">
      <c r="S74" s="105"/>
      <c r="T74" s="105"/>
      <c r="U74" s="105"/>
      <c r="V74" s="105"/>
    </row>
    <row r="75" spans="19:22" ht="12.75">
      <c r="S75" s="105"/>
      <c r="T75" s="105"/>
      <c r="U75" s="105"/>
      <c r="V75" s="105"/>
    </row>
    <row r="76" spans="19:22" ht="12.75">
      <c r="S76" s="105"/>
      <c r="T76" s="105"/>
      <c r="U76" s="105"/>
      <c r="V76" s="105"/>
    </row>
    <row r="77" spans="19:22" ht="12.75">
      <c r="S77" s="105"/>
      <c r="T77" s="105"/>
      <c r="U77" s="105"/>
      <c r="V77" s="105"/>
    </row>
    <row r="78" spans="19:22" ht="12.75">
      <c r="S78" s="105"/>
      <c r="T78" s="105"/>
      <c r="U78" s="105"/>
      <c r="V78" s="105"/>
    </row>
    <row r="79" spans="19:22" ht="12.75">
      <c r="S79" s="105"/>
      <c r="T79" s="105"/>
      <c r="U79" s="105"/>
      <c r="V79" s="111"/>
    </row>
    <row r="80" spans="19:22" ht="12.75">
      <c r="S80" s="6"/>
      <c r="T80" s="6"/>
      <c r="U80" s="6"/>
      <c r="V80" s="112"/>
    </row>
    <row r="81" spans="19:22" ht="12.75">
      <c r="S81" s="6"/>
      <c r="T81" s="6"/>
      <c r="U81" s="6"/>
      <c r="V81" s="112"/>
    </row>
    <row r="82" spans="19:22" ht="12.75">
      <c r="S82" s="6"/>
      <c r="T82" s="6"/>
      <c r="U82" s="6"/>
      <c r="V82" s="112"/>
    </row>
    <row r="83" spans="19:22" ht="12.75">
      <c r="S83" s="6"/>
      <c r="T83" s="6"/>
      <c r="U83" s="6"/>
      <c r="V83" s="112"/>
    </row>
    <row r="84" spans="19:22" ht="12.75">
      <c r="S84" s="6"/>
      <c r="T84" s="6"/>
      <c r="U84" s="6"/>
      <c r="V84" s="112"/>
    </row>
    <row r="85" spans="19:22" ht="12.75">
      <c r="S85" s="6"/>
      <c r="T85" s="6"/>
      <c r="U85" s="6"/>
      <c r="V85" s="112"/>
    </row>
    <row r="86" spans="19:22" ht="12.75">
      <c r="S86" s="6"/>
      <c r="T86" s="6"/>
      <c r="U86" s="6"/>
      <c r="V86" s="112"/>
    </row>
    <row r="87" spans="19:22" ht="12.75">
      <c r="S87" s="6"/>
      <c r="T87" s="6"/>
      <c r="U87" s="6"/>
      <c r="V87" s="112"/>
    </row>
    <row r="88" spans="18:22" ht="12.75">
      <c r="R88" s="95"/>
      <c r="S88" s="6"/>
      <c r="T88" s="6"/>
      <c r="U88" s="6"/>
      <c r="V88" s="112"/>
    </row>
    <row r="89" spans="18:22" ht="12.75">
      <c r="R89" s="95"/>
      <c r="S89" s="6"/>
      <c r="T89" s="6"/>
      <c r="U89" s="6"/>
      <c r="V89" s="112"/>
    </row>
    <row r="90" spans="19:22" ht="12.75">
      <c r="S90" s="6"/>
      <c r="T90" s="6"/>
      <c r="U90" s="6"/>
      <c r="V90" s="112"/>
    </row>
    <row r="91" spans="19:22" ht="12.75">
      <c r="S91" s="6"/>
      <c r="T91" s="6"/>
      <c r="U91" s="6"/>
      <c r="V91" s="112"/>
    </row>
    <row r="92" spans="19:22" ht="12.75">
      <c r="S92" s="6"/>
      <c r="T92" s="6"/>
      <c r="U92" s="6"/>
      <c r="V92" s="112"/>
    </row>
    <row r="93" spans="19:22" ht="12.75">
      <c r="S93" s="6"/>
      <c r="T93" s="6"/>
      <c r="U93" s="6"/>
      <c r="V93" s="112"/>
    </row>
    <row r="94" spans="19:22" ht="12.75">
      <c r="S94" s="6"/>
      <c r="T94" s="6"/>
      <c r="U94" s="6"/>
      <c r="V94" s="112"/>
    </row>
    <row r="95" spans="19:22" ht="12.75">
      <c r="S95" s="6"/>
      <c r="T95" s="6"/>
      <c r="U95" s="6"/>
      <c r="V95" s="112"/>
    </row>
    <row r="96" spans="19:22" ht="12.75">
      <c r="S96" s="6"/>
      <c r="T96" s="6"/>
      <c r="U96" s="6"/>
      <c r="V96" s="112"/>
    </row>
  </sheetData>
  <sheetProtection password="B728" sheet="1"/>
  <mergeCells count="6">
    <mergeCell ref="P11:P13"/>
    <mergeCell ref="R35:R36"/>
    <mergeCell ref="B11:B12"/>
    <mergeCell ref="D11:G11"/>
    <mergeCell ref="H11:K11"/>
    <mergeCell ref="L11:O11"/>
  </mergeCells>
  <printOptions horizontalCentered="1" verticalCentered="1"/>
  <pageMargins left="0.24" right="0.24" top="1" bottom="1" header="0" footer="0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Y70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2" width="21.421875" style="0" customWidth="1"/>
    <col min="4" max="4" width="9.140625" style="0" bestFit="1" customWidth="1"/>
    <col min="5" max="5" width="8.57421875" style="0" customWidth="1"/>
    <col min="6" max="6" width="8.00390625" style="0" customWidth="1"/>
    <col min="7" max="7" width="11.140625" style="0" customWidth="1"/>
    <col min="8" max="8" width="11.7109375" style="0" customWidth="1"/>
    <col min="9" max="9" width="9.28125" style="0" customWidth="1"/>
    <col min="10" max="10" width="7.28125" style="0" customWidth="1"/>
    <col min="11" max="11" width="9.28125" style="0" customWidth="1"/>
    <col min="12" max="12" width="9.8515625" style="0" customWidth="1"/>
    <col min="13" max="13" width="8.7109375" style="0" customWidth="1"/>
  </cols>
  <sheetData>
    <row r="2" ht="18">
      <c r="A2" s="10" t="s">
        <v>60</v>
      </c>
    </row>
    <row r="4" spans="2:13" ht="15">
      <c r="B4" s="103"/>
      <c r="C4" s="103"/>
      <c r="D4" s="103"/>
      <c r="E4" s="103"/>
      <c r="F4" s="103"/>
      <c r="G4" s="103"/>
      <c r="H4" s="103"/>
      <c r="I4" s="113"/>
      <c r="J4" s="104"/>
      <c r="K4" s="104"/>
      <c r="L4" s="104"/>
      <c r="M4" s="104"/>
    </row>
    <row r="5" spans="2:25" ht="18">
      <c r="B5" s="10" t="s">
        <v>61</v>
      </c>
      <c r="C5" s="114"/>
      <c r="D5" s="114"/>
      <c r="E5" s="114"/>
      <c r="F5" s="114"/>
      <c r="G5" s="114"/>
      <c r="T5" s="24"/>
      <c r="U5" s="24"/>
      <c r="V5" s="24"/>
      <c r="W5" s="24"/>
      <c r="X5" s="24"/>
      <c r="Y5" s="24"/>
    </row>
    <row r="6" spans="20:25" ht="13.5" thickBot="1">
      <c r="T6" s="24"/>
      <c r="U6" s="24"/>
      <c r="V6" s="24"/>
      <c r="W6" s="24"/>
      <c r="X6" s="24"/>
      <c r="Y6" s="24"/>
    </row>
    <row r="7" spans="2:25" ht="15.75" customHeight="1">
      <c r="B7" s="115"/>
      <c r="C7" s="116"/>
      <c r="D7" s="117" t="s">
        <v>56</v>
      </c>
      <c r="E7" s="118"/>
      <c r="F7" s="118"/>
      <c r="G7" s="117" t="s">
        <v>62</v>
      </c>
      <c r="H7" s="118"/>
      <c r="I7" s="119"/>
      <c r="J7" s="119"/>
      <c r="K7" s="117" t="s">
        <v>63</v>
      </c>
      <c r="L7" s="120"/>
      <c r="M7" s="121"/>
      <c r="T7" s="24"/>
      <c r="U7" s="1400"/>
      <c r="V7" s="1400"/>
      <c r="W7" s="1400"/>
      <c r="X7" s="24"/>
      <c r="Y7" s="24"/>
    </row>
    <row r="8" spans="2:25" ht="13.5" thickBot="1">
      <c r="B8" s="122" t="s">
        <v>47</v>
      </c>
      <c r="C8" s="123" t="s">
        <v>55</v>
      </c>
      <c r="D8" s="124" t="s">
        <v>65</v>
      </c>
      <c r="E8" s="125" t="s">
        <v>66</v>
      </c>
      <c r="F8" s="125" t="s">
        <v>67</v>
      </c>
      <c r="G8" s="126" t="s">
        <v>55</v>
      </c>
      <c r="H8" s="125" t="s">
        <v>65</v>
      </c>
      <c r="I8" s="125" t="s">
        <v>66</v>
      </c>
      <c r="J8" s="125" t="s">
        <v>67</v>
      </c>
      <c r="K8" s="126" t="s">
        <v>55</v>
      </c>
      <c r="L8" s="127" t="s">
        <v>65</v>
      </c>
      <c r="M8" s="128" t="s">
        <v>66</v>
      </c>
      <c r="P8" s="106"/>
      <c r="Q8" s="106"/>
      <c r="R8" s="106"/>
      <c r="T8" s="24"/>
      <c r="U8" s="278"/>
      <c r="V8" s="313"/>
      <c r="W8" s="24"/>
      <c r="X8" s="24"/>
      <c r="Y8" s="24"/>
    </row>
    <row r="9" spans="2:25" ht="12.75">
      <c r="B9" s="129"/>
      <c r="C9" s="130"/>
      <c r="D9" s="131"/>
      <c r="E9" s="132"/>
      <c r="F9" s="133"/>
      <c r="G9" s="134"/>
      <c r="H9" s="132"/>
      <c r="I9" s="132"/>
      <c r="J9" s="133"/>
      <c r="K9" s="131"/>
      <c r="L9" s="135"/>
      <c r="M9" s="136"/>
      <c r="P9" s="106"/>
      <c r="Q9" s="106"/>
      <c r="R9" s="106"/>
      <c r="T9" s="24"/>
      <c r="U9" s="278"/>
      <c r="V9" s="313"/>
      <c r="W9" s="1401"/>
      <c r="X9" s="24"/>
      <c r="Y9" s="24"/>
    </row>
    <row r="10" spans="2:25" ht="12.75">
      <c r="B10" s="137">
        <v>1995</v>
      </c>
      <c r="C10" s="138">
        <v>4461.7</v>
      </c>
      <c r="D10" s="139">
        <v>2479.4</v>
      </c>
      <c r="E10" s="140">
        <v>1982.3</v>
      </c>
      <c r="F10" s="141"/>
      <c r="G10" s="139">
        <v>3185.7</v>
      </c>
      <c r="H10" s="139">
        <v>2190</v>
      </c>
      <c r="I10" s="139">
        <v>995.7</v>
      </c>
      <c r="J10" s="141"/>
      <c r="K10" s="139">
        <v>1276</v>
      </c>
      <c r="L10" s="142">
        <v>289.4</v>
      </c>
      <c r="M10" s="143">
        <v>986.6</v>
      </c>
      <c r="P10" s="106"/>
      <c r="Q10" s="106"/>
      <c r="R10" s="106"/>
      <c r="T10" s="24"/>
      <c r="U10" s="278"/>
      <c r="V10" s="313"/>
      <c r="W10" s="1401"/>
      <c r="X10" s="24"/>
      <c r="Y10" s="24"/>
    </row>
    <row r="11" spans="2:25" ht="12.75">
      <c r="B11" s="129">
        <v>1996</v>
      </c>
      <c r="C11" s="130">
        <v>4662.605</v>
      </c>
      <c r="D11" s="131">
        <v>2492.7239999999997</v>
      </c>
      <c r="E11" s="144">
        <v>2169.6310000000003</v>
      </c>
      <c r="F11" s="145">
        <v>0.25</v>
      </c>
      <c r="G11" s="131">
        <v>3352.881</v>
      </c>
      <c r="H11" s="131">
        <v>2200.1839999999997</v>
      </c>
      <c r="I11" s="131">
        <v>1152.4470000000001</v>
      </c>
      <c r="J11" s="146">
        <v>0.25</v>
      </c>
      <c r="K11" s="131">
        <v>1309.724</v>
      </c>
      <c r="L11" s="135">
        <v>292.54</v>
      </c>
      <c r="M11" s="136">
        <v>1017.184</v>
      </c>
      <c r="P11" s="106"/>
      <c r="Q11" s="106"/>
      <c r="R11" s="106"/>
      <c r="T11" s="24"/>
      <c r="U11" s="278"/>
      <c r="V11" s="313"/>
      <c r="W11" s="1401"/>
      <c r="X11" s="24"/>
      <c r="Y11" s="24"/>
    </row>
    <row r="12" spans="2:25" ht="12.75">
      <c r="B12" s="137">
        <v>1997</v>
      </c>
      <c r="C12" s="138">
        <v>5192.498</v>
      </c>
      <c r="D12" s="139">
        <v>2512.9939999999997</v>
      </c>
      <c r="E12" s="147">
        <v>2679.254</v>
      </c>
      <c r="F12" s="148">
        <v>0.25</v>
      </c>
      <c r="G12" s="139">
        <v>4325.021</v>
      </c>
      <c r="H12" s="139">
        <v>2411.519</v>
      </c>
      <c r="I12" s="139">
        <v>1913.252</v>
      </c>
      <c r="J12" s="149">
        <v>0.25</v>
      </c>
      <c r="K12" s="139">
        <v>867.477</v>
      </c>
      <c r="L12" s="142">
        <v>101.475</v>
      </c>
      <c r="M12" s="143">
        <v>766.002</v>
      </c>
      <c r="P12" s="106"/>
      <c r="Q12" s="106"/>
      <c r="R12" s="106"/>
      <c r="T12" s="24"/>
      <c r="U12" s="278"/>
      <c r="V12" s="313"/>
      <c r="W12" s="1401"/>
      <c r="X12" s="24"/>
      <c r="Y12" s="24"/>
    </row>
    <row r="13" spans="2:25" ht="12.75">
      <c r="B13" s="129">
        <v>1998</v>
      </c>
      <c r="C13" s="130">
        <v>5515.29</v>
      </c>
      <c r="D13" s="131">
        <v>2572.061</v>
      </c>
      <c r="E13" s="144">
        <v>2942.979</v>
      </c>
      <c r="F13" s="145">
        <v>0.25</v>
      </c>
      <c r="G13" s="131">
        <v>4632.328</v>
      </c>
      <c r="H13" s="131">
        <v>2467.416</v>
      </c>
      <c r="I13" s="131">
        <v>2164.6119999999996</v>
      </c>
      <c r="J13" s="146">
        <v>0.3</v>
      </c>
      <c r="K13" s="131">
        <v>883.0120000000001</v>
      </c>
      <c r="L13" s="135">
        <v>104.645</v>
      </c>
      <c r="M13" s="136">
        <v>778.3670000000001</v>
      </c>
      <c r="P13" s="106"/>
      <c r="Q13" s="106"/>
      <c r="R13" s="106"/>
      <c r="T13" s="24"/>
      <c r="U13" s="278"/>
      <c r="V13" s="313"/>
      <c r="W13" s="1401"/>
      <c r="X13" s="24"/>
      <c r="Y13" s="24"/>
    </row>
    <row r="14" spans="2:25" ht="12.75">
      <c r="B14" s="137">
        <v>1999</v>
      </c>
      <c r="C14" s="138">
        <v>5742.428</v>
      </c>
      <c r="D14" s="139">
        <v>2673.28</v>
      </c>
      <c r="E14" s="147">
        <v>3068.4480000000003</v>
      </c>
      <c r="F14" s="148">
        <v>0.7</v>
      </c>
      <c r="G14" s="139">
        <v>4828.2429999999995</v>
      </c>
      <c r="H14" s="139">
        <v>2587.129</v>
      </c>
      <c r="I14" s="139">
        <v>2240.414</v>
      </c>
      <c r="J14" s="149">
        <v>0.7</v>
      </c>
      <c r="K14" s="139">
        <v>914.185</v>
      </c>
      <c r="L14" s="142">
        <v>86.15099999999998</v>
      </c>
      <c r="M14" s="143">
        <v>828.034</v>
      </c>
      <c r="P14" s="106"/>
      <c r="Q14" s="106"/>
      <c r="R14" s="106"/>
      <c r="T14" s="24"/>
      <c r="U14" s="278"/>
      <c r="V14" s="313"/>
      <c r="W14" s="1401"/>
      <c r="X14" s="24"/>
      <c r="Y14" s="24"/>
    </row>
    <row r="15" spans="2:25" ht="12.75">
      <c r="B15" s="129">
        <v>2000</v>
      </c>
      <c r="C15" s="130">
        <v>6066.189</v>
      </c>
      <c r="D15" s="131">
        <v>2856.8250000000003</v>
      </c>
      <c r="E15" s="144">
        <v>3208.664</v>
      </c>
      <c r="F15" s="145">
        <v>0.7</v>
      </c>
      <c r="G15" s="131">
        <v>5148.851</v>
      </c>
      <c r="H15" s="131">
        <v>2779.26</v>
      </c>
      <c r="I15" s="131">
        <v>2368.891</v>
      </c>
      <c r="J15" s="146">
        <v>0.7</v>
      </c>
      <c r="K15" s="131">
        <v>917.3380000000002</v>
      </c>
      <c r="L15" s="135">
        <v>77.565</v>
      </c>
      <c r="M15" s="136">
        <v>839.7730000000001</v>
      </c>
      <c r="O15" s="95"/>
      <c r="P15" s="106"/>
      <c r="Q15" s="106"/>
      <c r="R15" s="106"/>
      <c r="T15" s="24"/>
      <c r="U15" s="278"/>
      <c r="V15" s="313"/>
      <c r="W15" s="1401"/>
      <c r="X15" s="24"/>
      <c r="Y15" s="24"/>
    </row>
    <row r="16" spans="2:25" ht="12.75">
      <c r="B16" s="137">
        <v>2001</v>
      </c>
      <c r="C16" s="138">
        <v>5906.693</v>
      </c>
      <c r="D16" s="139">
        <v>2966.328</v>
      </c>
      <c r="E16" s="147">
        <v>2939.665</v>
      </c>
      <c r="F16" s="149">
        <v>0.7</v>
      </c>
      <c r="G16" s="139">
        <v>5050.813999999999</v>
      </c>
      <c r="H16" s="147">
        <v>2889.433</v>
      </c>
      <c r="I16" s="147">
        <v>2160.681</v>
      </c>
      <c r="J16" s="149">
        <v>0.7</v>
      </c>
      <c r="K16" s="139">
        <v>855.879</v>
      </c>
      <c r="L16" s="142">
        <v>76.895</v>
      </c>
      <c r="M16" s="143">
        <v>778.984</v>
      </c>
      <c r="P16" s="106"/>
      <c r="Q16" s="106"/>
      <c r="R16" s="106"/>
      <c r="T16" s="24"/>
      <c r="U16" s="278"/>
      <c r="V16" s="313"/>
      <c r="W16" s="1401"/>
      <c r="X16" s="24"/>
      <c r="Y16" s="24"/>
    </row>
    <row r="17" spans="2:25" ht="12.75">
      <c r="B17" s="129">
        <v>2002</v>
      </c>
      <c r="C17" s="130">
        <v>5935.533</v>
      </c>
      <c r="D17" s="131">
        <v>2996.4710000000014</v>
      </c>
      <c r="E17" s="144">
        <v>2938.3619999999996</v>
      </c>
      <c r="F17" s="146">
        <v>0.7</v>
      </c>
      <c r="G17" s="131">
        <v>5068.051</v>
      </c>
      <c r="H17" s="144">
        <v>2917.602000000001</v>
      </c>
      <c r="I17" s="144">
        <v>2149.749</v>
      </c>
      <c r="J17" s="146">
        <v>0.7</v>
      </c>
      <c r="K17" s="131">
        <v>867.4819999999997</v>
      </c>
      <c r="L17" s="135">
        <v>78.86899999999997</v>
      </c>
      <c r="M17" s="136">
        <v>788.6129999999998</v>
      </c>
      <c r="P17" s="106"/>
      <c r="Q17" s="106"/>
      <c r="R17" s="106"/>
      <c r="T17" s="24"/>
      <c r="U17" s="24"/>
      <c r="V17" s="24"/>
      <c r="W17" s="24"/>
      <c r="X17" s="24"/>
      <c r="Y17" s="24"/>
    </row>
    <row r="18" spans="1:25" ht="12.75">
      <c r="A18" s="15"/>
      <c r="B18" s="137">
        <v>2003</v>
      </c>
      <c r="C18" s="138">
        <v>5970.063</v>
      </c>
      <c r="D18" s="139">
        <v>3032.3070000000002</v>
      </c>
      <c r="E18" s="147">
        <v>2937.056</v>
      </c>
      <c r="F18" s="149">
        <v>0.7</v>
      </c>
      <c r="G18" s="139">
        <v>5095.103</v>
      </c>
      <c r="H18" s="147">
        <v>2946.8210000000004</v>
      </c>
      <c r="I18" s="147">
        <v>2147.582</v>
      </c>
      <c r="J18" s="149">
        <v>0.7</v>
      </c>
      <c r="K18" s="139">
        <v>874.96</v>
      </c>
      <c r="L18" s="149">
        <v>85.48599999999999</v>
      </c>
      <c r="M18" s="143">
        <v>789.474</v>
      </c>
      <c r="P18" s="106"/>
      <c r="Q18" s="106"/>
      <c r="R18" s="106"/>
      <c r="T18" s="24"/>
      <c r="U18" s="24"/>
      <c r="V18" s="24"/>
      <c r="W18" s="24"/>
      <c r="X18" s="24"/>
      <c r="Y18" s="24"/>
    </row>
    <row r="19" spans="1:25" ht="12.75">
      <c r="A19" s="15"/>
      <c r="B19" s="129">
        <v>2004</v>
      </c>
      <c r="C19" s="130">
        <v>6016.318600000002</v>
      </c>
      <c r="D19" s="131">
        <v>3055.8676000000023</v>
      </c>
      <c r="E19" s="144">
        <v>2959.751</v>
      </c>
      <c r="F19" s="146">
        <v>0.7</v>
      </c>
      <c r="G19" s="131">
        <v>5096.021600000003</v>
      </c>
      <c r="H19" s="144">
        <v>2969.0596000000023</v>
      </c>
      <c r="I19" s="144">
        <v>2126.262</v>
      </c>
      <c r="J19" s="146">
        <v>0.7</v>
      </c>
      <c r="K19" s="131">
        <v>920.297</v>
      </c>
      <c r="L19" s="146">
        <v>86.80799999999996</v>
      </c>
      <c r="M19" s="136">
        <v>833.489</v>
      </c>
      <c r="P19" s="106"/>
      <c r="Q19" s="106"/>
      <c r="R19" s="106"/>
      <c r="T19" s="24"/>
      <c r="U19" s="24"/>
      <c r="V19" s="24"/>
      <c r="W19" s="24"/>
      <c r="X19" s="24"/>
      <c r="Y19" s="24"/>
    </row>
    <row r="20" spans="1:25" ht="12.75">
      <c r="A20" s="15"/>
      <c r="B20" s="137">
        <v>2005</v>
      </c>
      <c r="C20" s="138">
        <v>6200.5256</v>
      </c>
      <c r="D20" s="139">
        <v>3207.0616000000005</v>
      </c>
      <c r="E20" s="147">
        <v>2992.763999999999</v>
      </c>
      <c r="F20" s="149">
        <v>0.7</v>
      </c>
      <c r="G20" s="139">
        <v>5220.6336</v>
      </c>
      <c r="H20" s="147">
        <v>3119.1996000000004</v>
      </c>
      <c r="I20" s="147">
        <v>2100.7339999999995</v>
      </c>
      <c r="J20" s="149">
        <v>0.7</v>
      </c>
      <c r="K20" s="139">
        <v>979.8919999999999</v>
      </c>
      <c r="L20" s="149">
        <v>87.86199999999998</v>
      </c>
      <c r="M20" s="143">
        <v>892.03</v>
      </c>
      <c r="O20" s="95"/>
      <c r="P20" s="106"/>
      <c r="Q20" s="106"/>
      <c r="R20" s="106"/>
      <c r="T20" s="24"/>
      <c r="U20" s="24"/>
      <c r="V20" s="24"/>
      <c r="W20" s="24"/>
      <c r="X20" s="24"/>
      <c r="Y20" s="24"/>
    </row>
    <row r="21" spans="1:25" ht="12.75">
      <c r="A21" s="15"/>
      <c r="B21" s="129">
        <v>2006</v>
      </c>
      <c r="C21" s="130">
        <v>6658.143599999999</v>
      </c>
      <c r="D21" s="131">
        <v>3216.0026</v>
      </c>
      <c r="E21" s="144">
        <v>3441.441</v>
      </c>
      <c r="F21" s="146">
        <v>0.7</v>
      </c>
      <c r="G21" s="131">
        <v>5625.1416</v>
      </c>
      <c r="H21" s="144">
        <v>3127.8006</v>
      </c>
      <c r="I21" s="144">
        <v>2496.641</v>
      </c>
      <c r="J21" s="146">
        <v>0.7</v>
      </c>
      <c r="K21" s="131">
        <v>1033.0019999999997</v>
      </c>
      <c r="L21" s="146">
        <v>88.202</v>
      </c>
      <c r="M21" s="136">
        <v>944.8</v>
      </c>
      <c r="P21" s="106"/>
      <c r="Q21" s="106"/>
      <c r="R21" s="106"/>
      <c r="T21" s="24"/>
      <c r="U21" s="24"/>
      <c r="V21" s="24"/>
      <c r="W21" s="24"/>
      <c r="X21" s="24"/>
      <c r="Y21" s="24"/>
    </row>
    <row r="22" spans="2:25" ht="12.75">
      <c r="B22" s="137">
        <v>2007</v>
      </c>
      <c r="C22" s="138">
        <v>7027.5172</v>
      </c>
      <c r="D22" s="139">
        <v>3233.5982000000004</v>
      </c>
      <c r="E22" s="147">
        <v>3793.219</v>
      </c>
      <c r="F22" s="149">
        <v>0.7</v>
      </c>
      <c r="G22" s="139">
        <v>5989.7252</v>
      </c>
      <c r="H22" s="147">
        <v>3145.1412000000005</v>
      </c>
      <c r="I22" s="147">
        <v>2843.884</v>
      </c>
      <c r="J22" s="149">
        <v>0.7</v>
      </c>
      <c r="K22" s="139">
        <v>1037.792</v>
      </c>
      <c r="L22" s="149">
        <v>88.457</v>
      </c>
      <c r="M22" s="143">
        <v>949.335</v>
      </c>
      <c r="P22" s="106"/>
      <c r="Q22" s="106"/>
      <c r="R22" s="106"/>
      <c r="T22" s="24"/>
      <c r="U22" s="24"/>
      <c r="V22" s="24"/>
      <c r="W22" s="24"/>
      <c r="X22" s="24"/>
      <c r="Y22" s="24"/>
    </row>
    <row r="23" spans="2:25" ht="12.75">
      <c r="B23" s="129">
        <v>2008</v>
      </c>
      <c r="C23" s="130">
        <v>7157.935000000003</v>
      </c>
      <c r="D23" s="131">
        <v>3242.0260000000017</v>
      </c>
      <c r="E23" s="132">
        <v>3915.2090000000017</v>
      </c>
      <c r="F23" s="146">
        <v>0.7</v>
      </c>
      <c r="G23" s="131">
        <v>5996.983000000003</v>
      </c>
      <c r="H23" s="144">
        <v>3152.038000000002</v>
      </c>
      <c r="I23" s="144">
        <v>2844.245000000001</v>
      </c>
      <c r="J23" s="146">
        <v>0.7</v>
      </c>
      <c r="K23" s="131">
        <v>1160.9520000000007</v>
      </c>
      <c r="L23" s="146">
        <v>89.98799999999997</v>
      </c>
      <c r="M23" s="136">
        <v>1070.9640000000006</v>
      </c>
      <c r="P23" s="106"/>
      <c r="Q23" s="106"/>
      <c r="R23" s="106"/>
      <c r="T23" s="24"/>
      <c r="U23" s="24"/>
      <c r="V23" s="24"/>
      <c r="W23" s="24"/>
      <c r="X23" s="24"/>
      <c r="Y23" s="24"/>
    </row>
    <row r="24" spans="2:25" ht="12.75">
      <c r="B24" s="137">
        <v>2009</v>
      </c>
      <c r="C24" s="138">
        <v>7986.496000000002</v>
      </c>
      <c r="D24" s="139">
        <v>3277.4640000000018</v>
      </c>
      <c r="E24" s="140">
        <v>4708.332</v>
      </c>
      <c r="F24" s="149">
        <v>0.7</v>
      </c>
      <c r="G24" s="139">
        <v>6723.516000000002</v>
      </c>
      <c r="H24" s="147">
        <v>3183.1260000000016</v>
      </c>
      <c r="I24" s="147">
        <v>3539.69</v>
      </c>
      <c r="J24" s="149">
        <v>0.7</v>
      </c>
      <c r="K24" s="139">
        <v>1262.98</v>
      </c>
      <c r="L24" s="149">
        <v>94.338</v>
      </c>
      <c r="M24" s="143">
        <v>1168.6420000000003</v>
      </c>
      <c r="P24" s="106"/>
      <c r="Q24" s="106"/>
      <c r="R24" s="106"/>
      <c r="T24" s="24"/>
      <c r="U24" s="24"/>
      <c r="V24" s="24"/>
      <c r="W24" s="24"/>
      <c r="X24" s="24"/>
      <c r="Y24" s="24"/>
    </row>
    <row r="25" spans="2:25" ht="12.75">
      <c r="B25" s="129">
        <v>2010</v>
      </c>
      <c r="C25" s="130">
        <v>8612.556999999999</v>
      </c>
      <c r="D25" s="131">
        <v>3437.602</v>
      </c>
      <c r="E25" s="132">
        <v>5174.254999999998</v>
      </c>
      <c r="F25" s="146">
        <v>0.7</v>
      </c>
      <c r="G25" s="131">
        <v>7309.165999999998</v>
      </c>
      <c r="H25" s="144">
        <v>3344.795</v>
      </c>
      <c r="I25" s="144">
        <v>3963.670999999999</v>
      </c>
      <c r="J25" s="146">
        <v>0.7</v>
      </c>
      <c r="K25" s="131">
        <v>1303.3909999999996</v>
      </c>
      <c r="L25" s="146">
        <v>92.80700000000002</v>
      </c>
      <c r="M25" s="136">
        <v>1210.5839999999996</v>
      </c>
      <c r="P25" s="106"/>
      <c r="Q25" s="106"/>
      <c r="R25" s="106"/>
      <c r="T25" s="24"/>
      <c r="U25" s="24"/>
      <c r="V25" s="24"/>
      <c r="W25" s="24"/>
      <c r="X25" s="24"/>
      <c r="Y25" s="24"/>
    </row>
    <row r="26" spans="2:25" ht="12.75">
      <c r="B26" s="137" t="s">
        <v>181</v>
      </c>
      <c r="C26" s="138">
        <v>8556.353000000001</v>
      </c>
      <c r="D26" s="139">
        <v>3452.87</v>
      </c>
      <c r="E26" s="140">
        <v>5102.783</v>
      </c>
      <c r="F26" s="149">
        <v>0.7</v>
      </c>
      <c r="G26" s="139">
        <v>7311.774</v>
      </c>
      <c r="H26" s="147">
        <v>3359.3260000000005</v>
      </c>
      <c r="I26" s="147">
        <v>3951.7480000000005</v>
      </c>
      <c r="J26" s="149">
        <v>0.7</v>
      </c>
      <c r="K26" s="139">
        <v>1244.5789999999997</v>
      </c>
      <c r="L26" s="149">
        <v>93.54399999999998</v>
      </c>
      <c r="M26" s="143">
        <v>1151.035</v>
      </c>
      <c r="P26" s="106"/>
      <c r="Q26" s="106"/>
      <c r="R26" s="106"/>
      <c r="T26" s="24"/>
      <c r="U26" s="24"/>
      <c r="V26" s="24"/>
      <c r="W26" s="24"/>
      <c r="X26" s="24"/>
      <c r="Y26" s="24"/>
    </row>
    <row r="27" spans="2:25" ht="13.5" thickBot="1">
      <c r="B27" s="129"/>
      <c r="C27" s="130"/>
      <c r="D27" s="131"/>
      <c r="E27" s="132"/>
      <c r="F27" s="146"/>
      <c r="G27" s="131"/>
      <c r="H27" s="144"/>
      <c r="I27" s="144"/>
      <c r="J27" s="146"/>
      <c r="K27" s="131"/>
      <c r="L27" s="146"/>
      <c r="M27" s="136"/>
      <c r="P27" s="106"/>
      <c r="Q27" s="106"/>
      <c r="R27" s="106"/>
      <c r="T27" s="24"/>
      <c r="U27" s="24"/>
      <c r="V27" s="24"/>
      <c r="W27" s="24"/>
      <c r="X27" s="24"/>
      <c r="Y27" s="24"/>
    </row>
    <row r="28" spans="2:25" ht="12.75" customHeight="1">
      <c r="B28" s="376" t="s">
        <v>167</v>
      </c>
      <c r="C28" s="1247">
        <v>-0.006525820380636982</v>
      </c>
      <c r="D28" s="1451">
        <v>0.00444146820952529</v>
      </c>
      <c r="E28" s="1246">
        <v>-0.01381300303135391</v>
      </c>
      <c r="F28" s="151"/>
      <c r="G28" s="1480">
        <v>0.0003568122546404595</v>
      </c>
      <c r="H28" s="1451">
        <v>0.004344361911567285</v>
      </c>
      <c r="I28" s="1481">
        <v>-0.003008070044158151</v>
      </c>
      <c r="J28" s="151"/>
      <c r="K28" s="1272">
        <v>-0.04512230021536123</v>
      </c>
      <c r="L28" s="1246">
        <v>0.007941211331041531</v>
      </c>
      <c r="M28" s="1273">
        <v>-0.049190308148794104</v>
      </c>
      <c r="P28" s="106"/>
      <c r="Q28" s="106"/>
      <c r="R28" s="106"/>
      <c r="T28" s="24"/>
      <c r="U28" s="1400"/>
      <c r="V28" s="1400"/>
      <c r="W28" s="1400"/>
      <c r="X28" s="1400"/>
      <c r="Y28" s="24"/>
    </row>
    <row r="29" spans="1:25" ht="12.75">
      <c r="A29" s="15"/>
      <c r="B29" s="155" t="s">
        <v>171</v>
      </c>
      <c r="C29" s="1413">
        <v>0.0514463244409924</v>
      </c>
      <c r="D29" s="1414">
        <v>0.014314811424764873</v>
      </c>
      <c r="E29" s="1414">
        <v>0.0819653540553189</v>
      </c>
      <c r="F29" s="154"/>
      <c r="G29" s="1415">
        <v>0.05384771935858712</v>
      </c>
      <c r="H29" s="1414">
        <v>0.014384532802937056</v>
      </c>
      <c r="I29" s="1416">
        <v>0.09619200129601113</v>
      </c>
      <c r="J29" s="152"/>
      <c r="K29" s="1415">
        <v>0.037968708956288344</v>
      </c>
      <c r="L29" s="1414">
        <v>0.011829881114488572</v>
      </c>
      <c r="M29" s="1416">
        <v>0.04027875442875262</v>
      </c>
      <c r="N29" s="15"/>
      <c r="O29" s="15"/>
      <c r="P29" s="793"/>
      <c r="Q29" s="793"/>
      <c r="R29" s="793"/>
      <c r="S29" s="15"/>
      <c r="T29" s="200"/>
      <c r="U29" s="512"/>
      <c r="V29" s="512"/>
      <c r="W29" s="512"/>
      <c r="X29" s="512"/>
      <c r="Y29" s="200"/>
    </row>
    <row r="30" spans="2:25" ht="12.75" customHeight="1">
      <c r="B30" s="153" t="s">
        <v>169</v>
      </c>
      <c r="C30" s="1341">
        <v>0.4104989145573936</v>
      </c>
      <c r="D30" s="1452">
        <v>0.2086389610844206</v>
      </c>
      <c r="E30" s="1452">
        <v>0.5903139125816852</v>
      </c>
      <c r="F30" s="154"/>
      <c r="G30" s="1437">
        <v>0.42007877097239765</v>
      </c>
      <c r="H30" s="1452">
        <v>0.2087123910681261</v>
      </c>
      <c r="I30" s="1453">
        <v>0.6681848172836995</v>
      </c>
      <c r="J30" s="152"/>
      <c r="K30" s="1437">
        <v>0.35672892652435584</v>
      </c>
      <c r="L30" s="1452">
        <v>0.20600786437181706</v>
      </c>
      <c r="M30" s="1453">
        <v>0.37065016379426297</v>
      </c>
      <c r="P30" s="106"/>
      <c r="Q30" s="106"/>
      <c r="R30" s="106"/>
      <c r="T30" s="24"/>
      <c r="U30" s="1400"/>
      <c r="V30" s="1400"/>
      <c r="W30" s="1400"/>
      <c r="X30" s="1400"/>
      <c r="Y30" s="24"/>
    </row>
    <row r="31" spans="1:25" ht="13.5" thickBot="1">
      <c r="A31" s="15"/>
      <c r="B31" s="792" t="s">
        <v>170</v>
      </c>
      <c r="C31" s="1454">
        <v>0.03176155526691682</v>
      </c>
      <c r="D31" s="1455">
        <v>0.017376046384763866</v>
      </c>
      <c r="E31" s="1455">
        <v>0.04307761060559656</v>
      </c>
      <c r="F31" s="152"/>
      <c r="G31" s="1456">
        <v>0.03239664612310755</v>
      </c>
      <c r="H31" s="1455">
        <v>0.017381665315414185</v>
      </c>
      <c r="I31" s="1457">
        <v>0.04762056452905172</v>
      </c>
      <c r="J31" s="152"/>
      <c r="K31" s="1456">
        <v>0.02812241070155319</v>
      </c>
      <c r="L31" s="1455">
        <v>0.017174507354548396</v>
      </c>
      <c r="M31" s="1457">
        <v>0.02907700706807348</v>
      </c>
      <c r="N31" s="15"/>
      <c r="O31" s="15"/>
      <c r="P31" s="15"/>
      <c r="Q31" s="15"/>
      <c r="R31" s="15"/>
      <c r="S31" s="15"/>
      <c r="T31" s="200"/>
      <c r="U31" s="200"/>
      <c r="V31" s="200"/>
      <c r="W31" s="200"/>
      <c r="X31" s="200"/>
      <c r="Y31" s="200"/>
    </row>
    <row r="32" spans="2:25" ht="12.75">
      <c r="B32" t="s">
        <v>178</v>
      </c>
      <c r="T32" s="24"/>
      <c r="U32" s="1400"/>
      <c r="V32" s="434"/>
      <c r="W32" s="434"/>
      <c r="X32" s="1423"/>
      <c r="Y32" s="24"/>
    </row>
    <row r="33" spans="20:25" ht="12.75">
      <c r="T33" s="24"/>
      <c r="U33" s="1400"/>
      <c r="V33" s="434"/>
      <c r="W33" s="434"/>
      <c r="X33" s="1423"/>
      <c r="Y33" s="24"/>
    </row>
    <row r="34" spans="16:25" ht="12.75">
      <c r="P34" s="106"/>
      <c r="Q34" s="106"/>
      <c r="R34" s="106"/>
      <c r="T34" s="24"/>
      <c r="U34" s="1400"/>
      <c r="V34" s="434"/>
      <c r="W34" s="434"/>
      <c r="X34" s="1423"/>
      <c r="Y34" s="24"/>
    </row>
    <row r="35" spans="16:25" ht="12.75">
      <c r="P35" s="106"/>
      <c r="Q35" s="106"/>
      <c r="R35" s="106"/>
      <c r="T35" s="24"/>
      <c r="U35" s="24"/>
      <c r="V35" s="24"/>
      <c r="W35" s="24"/>
      <c r="X35" s="24"/>
      <c r="Y35" s="24"/>
    </row>
    <row r="36" spans="16:25" ht="12.75">
      <c r="P36" s="106"/>
      <c r="Q36" s="106"/>
      <c r="R36" s="106"/>
      <c r="T36" s="24"/>
      <c r="U36" s="24"/>
      <c r="V36" s="24"/>
      <c r="W36" s="24"/>
      <c r="X36" s="24"/>
      <c r="Y36" s="24"/>
    </row>
    <row r="37" spans="16:25" ht="12.75">
      <c r="P37" s="106"/>
      <c r="Q37" s="106"/>
      <c r="R37" s="106"/>
      <c r="T37" s="24"/>
      <c r="U37" s="24"/>
      <c r="V37" s="24"/>
      <c r="W37" s="24"/>
      <c r="X37" s="24"/>
      <c r="Y37" s="24"/>
    </row>
    <row r="38" spans="16:25" ht="12.75">
      <c r="P38" s="106"/>
      <c r="Q38" s="106"/>
      <c r="R38" s="106"/>
      <c r="T38" s="24"/>
      <c r="U38" s="24"/>
      <c r="V38" s="24"/>
      <c r="W38" s="24"/>
      <c r="X38" s="24"/>
      <c r="Y38" s="24"/>
    </row>
    <row r="39" spans="16:18" ht="12.75">
      <c r="P39" s="106"/>
      <c r="Q39" s="106"/>
      <c r="R39" s="106"/>
    </row>
    <row r="40" spans="16:18" ht="12.75">
      <c r="P40" s="106"/>
      <c r="Q40" s="106"/>
      <c r="R40" s="106"/>
    </row>
    <row r="41" spans="15:18" ht="12.75">
      <c r="O41" s="95"/>
      <c r="P41" s="106"/>
      <c r="Q41" s="106"/>
      <c r="R41" s="106"/>
    </row>
    <row r="42" spans="16:18" ht="12.75">
      <c r="P42" s="106"/>
      <c r="Q42" s="106"/>
      <c r="R42" s="106"/>
    </row>
    <row r="43" spans="16:18" ht="12.75">
      <c r="P43" s="106"/>
      <c r="Q43" s="106"/>
      <c r="R43" s="106"/>
    </row>
    <row r="44" spans="16:18" ht="12.75">
      <c r="P44" s="106"/>
      <c r="Q44" s="106"/>
      <c r="R44" s="106"/>
    </row>
    <row r="45" spans="16:18" ht="12.75">
      <c r="P45" s="106"/>
      <c r="Q45" s="106"/>
      <c r="R45" s="106"/>
    </row>
    <row r="46" spans="15:18" ht="12.75">
      <c r="O46" s="95"/>
      <c r="P46" s="106"/>
      <c r="Q46" s="106"/>
      <c r="R46" s="106"/>
    </row>
    <row r="47" spans="16:18" ht="12.75">
      <c r="P47" s="106"/>
      <c r="Q47" s="106"/>
      <c r="R47" s="106"/>
    </row>
    <row r="48" spans="16:18" ht="12.75">
      <c r="P48" s="106"/>
      <c r="Q48" s="106"/>
      <c r="R48" s="106"/>
    </row>
    <row r="49" spans="16:18" ht="12.75">
      <c r="P49" s="106"/>
      <c r="Q49" s="106"/>
      <c r="R49" s="106"/>
    </row>
    <row r="50" spans="16:18" ht="12.75">
      <c r="P50" s="106"/>
      <c r="Q50" s="106"/>
      <c r="R50" s="106"/>
    </row>
    <row r="54" spans="16:18" ht="12.75">
      <c r="P54" s="106"/>
      <c r="Q54" s="106"/>
      <c r="R54" s="106"/>
    </row>
    <row r="55" spans="16:18" ht="12.75">
      <c r="P55" s="106"/>
      <c r="Q55" s="106"/>
      <c r="R55" s="106"/>
    </row>
    <row r="56" spans="16:18" ht="12.75">
      <c r="P56" s="106"/>
      <c r="Q56" s="106"/>
      <c r="R56" s="106"/>
    </row>
    <row r="57" spans="16:18" ht="12.75">
      <c r="P57" s="106"/>
      <c r="Q57" s="106"/>
      <c r="R57" s="106"/>
    </row>
    <row r="58" spans="16:18" ht="12.75">
      <c r="P58" s="106"/>
      <c r="Q58" s="106"/>
      <c r="R58" s="106"/>
    </row>
    <row r="59" spans="16:18" ht="12.75">
      <c r="P59" s="106"/>
      <c r="Q59" s="106"/>
      <c r="R59" s="106"/>
    </row>
    <row r="60" spans="16:18" ht="12.75">
      <c r="P60" s="106"/>
      <c r="Q60" s="106"/>
      <c r="R60" s="106"/>
    </row>
    <row r="61" spans="16:18" ht="12.75">
      <c r="P61" s="106"/>
      <c r="Q61" s="106"/>
      <c r="R61" s="106"/>
    </row>
    <row r="62" spans="16:18" ht="12.75">
      <c r="P62" s="106"/>
      <c r="Q62" s="106"/>
      <c r="R62" s="106"/>
    </row>
    <row r="63" spans="16:18" ht="12.75">
      <c r="P63" s="106"/>
      <c r="Q63" s="106"/>
      <c r="R63" s="106"/>
    </row>
    <row r="64" spans="16:18" ht="12.75">
      <c r="P64" s="106"/>
      <c r="Q64" s="106"/>
      <c r="R64" s="106"/>
    </row>
    <row r="65" spans="16:18" ht="12.75">
      <c r="P65" s="106"/>
      <c r="Q65" s="106"/>
      <c r="R65" s="106"/>
    </row>
    <row r="66" spans="15:18" ht="12.75">
      <c r="O66" s="95"/>
      <c r="P66" s="106"/>
      <c r="Q66" s="106"/>
      <c r="R66" s="106"/>
    </row>
    <row r="67" spans="16:18" ht="12.75">
      <c r="P67" s="106"/>
      <c r="Q67" s="106"/>
      <c r="R67" s="106"/>
    </row>
    <row r="68" spans="16:18" ht="12.75">
      <c r="P68" s="106"/>
      <c r="Q68" s="106"/>
      <c r="R68" s="106"/>
    </row>
    <row r="69" spans="16:18" ht="12.75">
      <c r="P69" s="106"/>
      <c r="Q69" s="106"/>
      <c r="R69" s="106"/>
    </row>
    <row r="70" spans="16:18" ht="12.75">
      <c r="P70" s="106"/>
      <c r="Q70" s="106"/>
      <c r="R70" s="106"/>
    </row>
  </sheetData>
  <sheetProtection password="B728" sheet="1"/>
  <printOptions horizontalCentered="1" verticalCentered="1"/>
  <pageMargins left="1.1023622047244095" right="0.3937007874015748" top="1.2" bottom="1.1023622047244095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W82"/>
  <sheetViews>
    <sheetView view="pageBreakPreview" zoomScaleNormal="70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2.8515625" style="0" customWidth="1"/>
    <col min="4" max="4" width="15.28125" style="0" customWidth="1"/>
    <col min="5" max="5" width="15.140625" style="0" customWidth="1"/>
    <col min="6" max="6" width="15.28125" style="0" customWidth="1"/>
    <col min="7" max="8" width="13.57421875" style="0" customWidth="1"/>
    <col min="9" max="9" width="13.421875" style="0" customWidth="1"/>
    <col min="10" max="10" width="13.57421875" style="0" customWidth="1"/>
    <col min="12" max="12" width="9.57421875" style="0" customWidth="1"/>
    <col min="13" max="13" width="8.140625" style="0" customWidth="1"/>
    <col min="16" max="16" width="13.421875" style="0" bestFit="1" customWidth="1"/>
    <col min="17" max="18" width="15.140625" style="0" customWidth="1"/>
    <col min="19" max="20" width="12.28125" style="0" customWidth="1"/>
    <col min="21" max="21" width="21.57421875" style="0" bestFit="1" customWidth="1"/>
    <col min="22" max="22" width="12.28125" style="0" bestFit="1" customWidth="1"/>
  </cols>
  <sheetData>
    <row r="2" ht="15.75">
      <c r="B2" s="88" t="s">
        <v>76</v>
      </c>
    </row>
    <row r="3" ht="15.75">
      <c r="B3" s="88"/>
    </row>
    <row r="4" ht="13.5" thickBot="1">
      <c r="B4" s="34"/>
    </row>
    <row r="5" spans="2:13" ht="15.75" thickBot="1">
      <c r="B5" s="157" t="s">
        <v>47</v>
      </c>
      <c r="C5" s="158" t="s">
        <v>64</v>
      </c>
      <c r="D5" s="1582" t="s">
        <v>74</v>
      </c>
      <c r="E5" s="1583"/>
      <c r="F5" s="1584"/>
      <c r="G5" s="1582" t="s">
        <v>75</v>
      </c>
      <c r="H5" s="1583"/>
      <c r="I5" s="1584"/>
      <c r="J5" s="1585" t="s">
        <v>73</v>
      </c>
      <c r="K5" s="1586"/>
      <c r="L5" s="1586"/>
      <c r="M5" s="1587"/>
    </row>
    <row r="6" spans="2:13" ht="13.5" thickBot="1">
      <c r="B6" s="159"/>
      <c r="C6" s="160"/>
      <c r="D6" s="161" t="s">
        <v>68</v>
      </c>
      <c r="E6" s="162" t="s">
        <v>69</v>
      </c>
      <c r="F6" s="163" t="s">
        <v>70</v>
      </c>
      <c r="G6" s="163" t="s">
        <v>68</v>
      </c>
      <c r="H6" s="163" t="s">
        <v>69</v>
      </c>
      <c r="I6" s="163" t="s">
        <v>70</v>
      </c>
      <c r="J6" s="163" t="s">
        <v>68</v>
      </c>
      <c r="K6" s="163" t="s">
        <v>69</v>
      </c>
      <c r="L6" s="163" t="s">
        <v>70</v>
      </c>
      <c r="M6" s="160" t="s">
        <v>71</v>
      </c>
    </row>
    <row r="7" spans="2:13" ht="12.75">
      <c r="B7" s="164"/>
      <c r="C7" s="165"/>
      <c r="D7" s="166"/>
      <c r="E7" s="167"/>
      <c r="F7" s="167"/>
      <c r="G7" s="165"/>
      <c r="H7" s="168"/>
      <c r="I7" s="168"/>
      <c r="J7" s="165"/>
      <c r="K7" s="168"/>
      <c r="L7" s="169"/>
      <c r="M7" s="170"/>
    </row>
    <row r="8" spans="2:17" ht="12.75">
      <c r="B8" s="823">
        <v>1995</v>
      </c>
      <c r="C8" s="178">
        <f aca="true" t="shared" si="0" ref="C8:C13">+D8+G8+J8</f>
        <v>3185.7000000000003</v>
      </c>
      <c r="D8" s="179">
        <f aca="true" t="shared" si="1" ref="D8:D13">SUM(E8:F8)</f>
        <v>2422.295</v>
      </c>
      <c r="E8" s="180">
        <v>1840.435</v>
      </c>
      <c r="F8" s="140">
        <v>581.86</v>
      </c>
      <c r="G8" s="181">
        <f aca="true" t="shared" si="2" ref="G8:G13">SUM(H8:I8)</f>
        <v>416.34</v>
      </c>
      <c r="H8" s="180">
        <v>312.27</v>
      </c>
      <c r="I8" s="140">
        <v>104.07</v>
      </c>
      <c r="J8" s="181">
        <f aca="true" t="shared" si="3" ref="J8:J13">SUM(K8:M8)</f>
        <v>347.06500000000005</v>
      </c>
      <c r="K8" s="182">
        <f>28.93+6.8+1.565</f>
        <v>37.294999999999995</v>
      </c>
      <c r="L8" s="147">
        <f>303.547+6.223</f>
        <v>309.77000000000004</v>
      </c>
      <c r="M8" s="183"/>
      <c r="O8" s="105"/>
      <c r="Q8" s="176"/>
    </row>
    <row r="9" spans="2:17" ht="12.75">
      <c r="B9" s="822">
        <v>1996</v>
      </c>
      <c r="C9" s="171">
        <f t="shared" si="0"/>
        <v>3352.881</v>
      </c>
      <c r="D9" s="172">
        <f t="shared" si="1"/>
        <v>2552.055</v>
      </c>
      <c r="E9" s="173">
        <v>1842.735</v>
      </c>
      <c r="F9" s="132">
        <v>709.32</v>
      </c>
      <c r="G9" s="174">
        <f t="shared" si="2"/>
        <v>420.66</v>
      </c>
      <c r="H9" s="173">
        <v>311.97</v>
      </c>
      <c r="I9" s="132">
        <v>108.69</v>
      </c>
      <c r="J9" s="174">
        <f t="shared" si="3"/>
        <v>380.166</v>
      </c>
      <c r="K9" s="134">
        <f>45.479</f>
        <v>45.479</v>
      </c>
      <c r="L9" s="144">
        <f>334.437</f>
        <v>334.437</v>
      </c>
      <c r="M9" s="184">
        <v>0.25</v>
      </c>
      <c r="O9" s="105"/>
      <c r="Q9" s="176"/>
    </row>
    <row r="10" spans="2:17" ht="12.75">
      <c r="B10" s="823">
        <v>1997</v>
      </c>
      <c r="C10" s="178">
        <f t="shared" si="0"/>
        <v>4325.021</v>
      </c>
      <c r="D10" s="179">
        <f t="shared" si="1"/>
        <v>3243.17</v>
      </c>
      <c r="E10" s="180">
        <v>2039.8</v>
      </c>
      <c r="F10" s="140">
        <v>1203.37</v>
      </c>
      <c r="G10" s="181">
        <f t="shared" si="2"/>
        <v>710.5450000000001</v>
      </c>
      <c r="H10" s="180">
        <v>312.49</v>
      </c>
      <c r="I10" s="140">
        <v>398.055</v>
      </c>
      <c r="J10" s="181">
        <f t="shared" si="3"/>
        <v>371.3059999999999</v>
      </c>
      <c r="K10" s="182">
        <v>59.229</v>
      </c>
      <c r="L10" s="147">
        <v>311.82699999999994</v>
      </c>
      <c r="M10" s="183">
        <v>0.25</v>
      </c>
      <c r="O10" s="105"/>
      <c r="Q10" s="176"/>
    </row>
    <row r="11" spans="2:17" ht="12.75">
      <c r="B11" s="822">
        <v>1998</v>
      </c>
      <c r="C11" s="171">
        <f t="shared" si="0"/>
        <v>4632.277999999999</v>
      </c>
      <c r="D11" s="172">
        <f t="shared" si="1"/>
        <v>3498.7559999999994</v>
      </c>
      <c r="E11" s="173">
        <v>2078.47</v>
      </c>
      <c r="F11" s="132">
        <v>1420.2859999999998</v>
      </c>
      <c r="G11" s="174">
        <f t="shared" si="2"/>
        <v>727.448</v>
      </c>
      <c r="H11" s="173">
        <v>312.78</v>
      </c>
      <c r="I11" s="132">
        <v>414.668</v>
      </c>
      <c r="J11" s="174">
        <f t="shared" si="3"/>
        <v>406.074</v>
      </c>
      <c r="K11" s="134">
        <v>76.16600000000001</v>
      </c>
      <c r="L11" s="144">
        <v>329.658</v>
      </c>
      <c r="M11" s="184">
        <v>0.25</v>
      </c>
      <c r="O11" s="105"/>
      <c r="Q11" s="176"/>
    </row>
    <row r="12" spans="2:17" ht="12.75">
      <c r="B12" s="823">
        <v>1999</v>
      </c>
      <c r="C12" s="178">
        <f t="shared" si="0"/>
        <v>4828.243</v>
      </c>
      <c r="D12" s="179">
        <f t="shared" si="1"/>
        <v>3672.607</v>
      </c>
      <c r="E12" s="180">
        <v>2190.572</v>
      </c>
      <c r="F12" s="140">
        <v>1482.035</v>
      </c>
      <c r="G12" s="181">
        <f t="shared" si="2"/>
        <v>793.4480000000001</v>
      </c>
      <c r="H12" s="180">
        <v>315.58</v>
      </c>
      <c r="I12" s="140">
        <v>477.86800000000005</v>
      </c>
      <c r="J12" s="181">
        <f t="shared" si="3"/>
        <v>362.18799999999993</v>
      </c>
      <c r="K12" s="182">
        <v>80.977</v>
      </c>
      <c r="L12" s="147">
        <v>280.51099999999997</v>
      </c>
      <c r="M12" s="183">
        <v>0.7</v>
      </c>
      <c r="O12" s="105"/>
      <c r="Q12" s="176"/>
    </row>
    <row r="13" spans="2:17" ht="12.75">
      <c r="B13" s="822">
        <v>2000</v>
      </c>
      <c r="C13" s="171">
        <f t="shared" si="0"/>
        <v>5148.851000000001</v>
      </c>
      <c r="D13" s="172">
        <f t="shared" si="1"/>
        <v>3858.317</v>
      </c>
      <c r="E13" s="173">
        <v>2375.685</v>
      </c>
      <c r="F13" s="132">
        <v>1482.6319999999998</v>
      </c>
      <c r="G13" s="174">
        <f t="shared" si="2"/>
        <v>931.6790000000001</v>
      </c>
      <c r="H13" s="173">
        <v>321.311</v>
      </c>
      <c r="I13" s="132">
        <v>610.368</v>
      </c>
      <c r="J13" s="174">
        <f t="shared" si="3"/>
        <v>358.855</v>
      </c>
      <c r="K13" s="134">
        <v>82.264</v>
      </c>
      <c r="L13" s="144">
        <v>275.891</v>
      </c>
      <c r="M13" s="184">
        <v>0.7</v>
      </c>
      <c r="O13" s="105"/>
      <c r="Q13" s="176"/>
    </row>
    <row r="14" spans="2:17" ht="12.75">
      <c r="B14" s="823"/>
      <c r="C14" s="1150"/>
      <c r="D14" s="956"/>
      <c r="E14" s="261"/>
      <c r="F14" s="957"/>
      <c r="G14" s="958"/>
      <c r="H14" s="261"/>
      <c r="I14" s="261"/>
      <c r="J14" s="958"/>
      <c r="K14" s="261"/>
      <c r="L14" s="1151"/>
      <c r="M14" s="1152"/>
      <c r="O14" s="105"/>
      <c r="Q14" s="176"/>
    </row>
    <row r="15" spans="2:17" ht="12.75">
      <c r="B15" s="822"/>
      <c r="C15" s="185"/>
      <c r="D15" s="1580" t="s">
        <v>72</v>
      </c>
      <c r="E15" s="1581"/>
      <c r="F15" s="1581"/>
      <c r="G15" s="189"/>
      <c r="H15" s="187"/>
      <c r="I15" s="187"/>
      <c r="J15" s="189"/>
      <c r="K15" s="187"/>
      <c r="L15" s="190"/>
      <c r="M15" s="191"/>
      <c r="O15" s="105"/>
      <c r="Q15" s="176"/>
    </row>
    <row r="16" spans="2:17" ht="12.75">
      <c r="B16" s="822">
        <v>2001</v>
      </c>
      <c r="C16" s="171">
        <f aca="true" t="shared" si="4" ref="C16:C23">+D16+J16</f>
        <v>5050.814</v>
      </c>
      <c r="D16" s="172">
        <f aca="true" t="shared" si="5" ref="D16:D22">SUM(E16:F16)</f>
        <v>4744.837</v>
      </c>
      <c r="E16" s="192">
        <v>2807.623</v>
      </c>
      <c r="F16" s="193">
        <v>1937.2140000000002</v>
      </c>
      <c r="G16" s="174"/>
      <c r="H16" s="192"/>
      <c r="I16" s="192"/>
      <c r="J16" s="174">
        <f aca="true" t="shared" si="6" ref="J16:J22">SUM(K16:M16)</f>
        <v>305.9769999999999</v>
      </c>
      <c r="K16" s="192">
        <v>81.81</v>
      </c>
      <c r="L16" s="194">
        <v>223.46699999999996</v>
      </c>
      <c r="M16" s="184">
        <v>0.7</v>
      </c>
      <c r="O16" s="105"/>
      <c r="Q16" s="176"/>
    </row>
    <row r="17" spans="2:17" ht="12.75">
      <c r="B17" s="823">
        <v>2002</v>
      </c>
      <c r="C17" s="178">
        <f t="shared" si="4"/>
        <v>5068.051</v>
      </c>
      <c r="D17" s="179">
        <f t="shared" si="5"/>
        <v>4841.717000000001</v>
      </c>
      <c r="E17" s="195">
        <v>2845.213000000001</v>
      </c>
      <c r="F17" s="195">
        <v>1996.5039999999997</v>
      </c>
      <c r="G17" s="181"/>
      <c r="H17" s="195"/>
      <c r="I17" s="195"/>
      <c r="J17" s="181">
        <f t="shared" si="6"/>
        <v>226.33399999999995</v>
      </c>
      <c r="K17" s="195">
        <v>72.38899999999997</v>
      </c>
      <c r="L17" s="196">
        <v>153.245</v>
      </c>
      <c r="M17" s="183">
        <v>0.7</v>
      </c>
      <c r="O17" s="105"/>
      <c r="Q17" s="176"/>
    </row>
    <row r="18" spans="2:17" ht="12.75">
      <c r="B18" s="822">
        <v>2003</v>
      </c>
      <c r="C18" s="171">
        <f t="shared" si="4"/>
        <v>5095.103</v>
      </c>
      <c r="D18" s="172">
        <f t="shared" si="5"/>
        <v>4881.0070000000005</v>
      </c>
      <c r="E18" s="192">
        <v>2874.9160000000006</v>
      </c>
      <c r="F18" s="192">
        <v>2006.091</v>
      </c>
      <c r="G18" s="174"/>
      <c r="H18" s="192"/>
      <c r="I18" s="192"/>
      <c r="J18" s="174">
        <f t="shared" si="6"/>
        <v>214.09599999999992</v>
      </c>
      <c r="K18" s="192">
        <v>71.90499999999994</v>
      </c>
      <c r="L18" s="194">
        <v>141.49099999999999</v>
      </c>
      <c r="M18" s="184">
        <v>0.7</v>
      </c>
      <c r="O18" s="105"/>
      <c r="Q18" s="176"/>
    </row>
    <row r="19" spans="2:17" ht="12.75">
      <c r="B19" s="823">
        <v>2004</v>
      </c>
      <c r="C19" s="178">
        <f t="shared" si="4"/>
        <v>5096.021600000002</v>
      </c>
      <c r="D19" s="179">
        <f t="shared" si="5"/>
        <v>4898.746600000002</v>
      </c>
      <c r="E19" s="195">
        <v>2896.230600000002</v>
      </c>
      <c r="F19" s="195">
        <v>2002.516</v>
      </c>
      <c r="G19" s="181"/>
      <c r="H19" s="195"/>
      <c r="I19" s="195"/>
      <c r="J19" s="181">
        <f t="shared" si="6"/>
        <v>197.2749999999999</v>
      </c>
      <c r="K19" s="195">
        <v>72.82899999999998</v>
      </c>
      <c r="L19" s="196">
        <v>123.74599999999992</v>
      </c>
      <c r="M19" s="183">
        <v>0.7</v>
      </c>
      <c r="O19" s="105"/>
      <c r="Q19" s="176"/>
    </row>
    <row r="20" spans="2:17" ht="12.75">
      <c r="B20" s="822">
        <v>2005</v>
      </c>
      <c r="C20" s="171">
        <f t="shared" si="4"/>
        <v>5220.6336</v>
      </c>
      <c r="D20" s="172">
        <f t="shared" si="5"/>
        <v>5014.1686</v>
      </c>
      <c r="E20" s="192">
        <v>3043.1506000000004</v>
      </c>
      <c r="F20" s="192">
        <v>1971.0179999999996</v>
      </c>
      <c r="G20" s="174"/>
      <c r="H20" s="192"/>
      <c r="I20" s="192"/>
      <c r="J20" s="174">
        <f t="shared" si="6"/>
        <v>206.46499999999986</v>
      </c>
      <c r="K20" s="192">
        <v>76.04899999999995</v>
      </c>
      <c r="L20" s="194">
        <v>129.71599999999992</v>
      </c>
      <c r="M20" s="184">
        <v>0.7</v>
      </c>
      <c r="O20" s="105"/>
      <c r="Q20" s="176"/>
    </row>
    <row r="21" spans="2:17" ht="12.75">
      <c r="B21" s="823">
        <v>2006</v>
      </c>
      <c r="C21" s="178">
        <f>+D21+J21</f>
        <v>5625.141600000001</v>
      </c>
      <c r="D21" s="179">
        <f>SUM(E21:F21)</f>
        <v>5410.4616000000005</v>
      </c>
      <c r="E21" s="195">
        <v>3053.2766</v>
      </c>
      <c r="F21" s="195">
        <v>2357.185</v>
      </c>
      <c r="G21" s="181"/>
      <c r="H21" s="195"/>
      <c r="I21" s="195"/>
      <c r="J21" s="181">
        <f>SUM(K21:M21)</f>
        <v>214.67999999999998</v>
      </c>
      <c r="K21" s="195">
        <v>74.524</v>
      </c>
      <c r="L21" s="196">
        <v>139.456</v>
      </c>
      <c r="M21" s="183">
        <v>0.7</v>
      </c>
      <c r="O21" s="105"/>
      <c r="Q21" s="176"/>
    </row>
    <row r="22" spans="2:17" ht="12.75">
      <c r="B22" s="822">
        <v>2007</v>
      </c>
      <c r="C22" s="171">
        <f t="shared" si="4"/>
        <v>5989.7252</v>
      </c>
      <c r="D22" s="172">
        <f t="shared" si="5"/>
        <v>5769.2542</v>
      </c>
      <c r="E22" s="192">
        <v>3072.0132000000003</v>
      </c>
      <c r="F22" s="192">
        <v>2697.241</v>
      </c>
      <c r="G22" s="174"/>
      <c r="H22" s="192"/>
      <c r="I22" s="192"/>
      <c r="J22" s="174">
        <f t="shared" si="6"/>
        <v>220.47099999999983</v>
      </c>
      <c r="K22" s="192">
        <v>73.12799999999996</v>
      </c>
      <c r="L22" s="194">
        <v>146.6429999999999</v>
      </c>
      <c r="M22" s="184">
        <v>0.7</v>
      </c>
      <c r="O22" s="105"/>
      <c r="Q22" s="176"/>
    </row>
    <row r="23" spans="2:17" ht="12.75">
      <c r="B23" s="823">
        <v>2008</v>
      </c>
      <c r="C23" s="178">
        <f t="shared" si="4"/>
        <v>5996.983000000003</v>
      </c>
      <c r="D23" s="179">
        <f>SUM(E23:F23)</f>
        <v>5755.247000000003</v>
      </c>
      <c r="E23" s="195">
        <v>3079.568000000002</v>
      </c>
      <c r="F23" s="195">
        <v>2675.679000000001</v>
      </c>
      <c r="G23" s="181"/>
      <c r="H23" s="195"/>
      <c r="I23" s="195"/>
      <c r="J23" s="181">
        <f>SUM(K23:M23)</f>
        <v>241.73599999999988</v>
      </c>
      <c r="K23" s="195">
        <v>72.46999999999994</v>
      </c>
      <c r="L23" s="196">
        <v>168.56599999999995</v>
      </c>
      <c r="M23" s="183">
        <v>0.7</v>
      </c>
      <c r="O23" s="105"/>
      <c r="Q23" s="176"/>
    </row>
    <row r="24" spans="2:17" ht="12.75">
      <c r="B24" s="822">
        <v>2009</v>
      </c>
      <c r="C24" s="171">
        <f>+D24+J24</f>
        <v>6723.516000000001</v>
      </c>
      <c r="D24" s="172">
        <f>SUM(E24:F24)</f>
        <v>6491.478000000002</v>
      </c>
      <c r="E24" s="192">
        <v>3121.6860000000015</v>
      </c>
      <c r="F24" s="192">
        <v>3369.7920000000004</v>
      </c>
      <c r="G24" s="174"/>
      <c r="H24" s="192"/>
      <c r="I24" s="192"/>
      <c r="J24" s="174">
        <f>SUM(K24:M24)</f>
        <v>232.03799999999993</v>
      </c>
      <c r="K24" s="192">
        <v>61.44</v>
      </c>
      <c r="L24" s="194">
        <v>169.89799999999994</v>
      </c>
      <c r="M24" s="184">
        <v>0.7</v>
      </c>
      <c r="O24" s="105"/>
      <c r="Q24" s="176"/>
    </row>
    <row r="25" spans="2:17" ht="12.75">
      <c r="B25" s="823">
        <v>2010</v>
      </c>
      <c r="C25" s="178">
        <f>+D25+J25</f>
        <v>7309.165999999999</v>
      </c>
      <c r="D25" s="179">
        <f>SUM(E25:F25)</f>
        <v>7131.088</v>
      </c>
      <c r="E25" s="195">
        <v>3291.425</v>
      </c>
      <c r="F25" s="195">
        <v>3839.662999999999</v>
      </c>
      <c r="G25" s="181"/>
      <c r="H25" s="195"/>
      <c r="I25" s="195"/>
      <c r="J25" s="181">
        <f>SUM(K25:M25)</f>
        <v>178.07799999999995</v>
      </c>
      <c r="K25" s="195">
        <v>53.37</v>
      </c>
      <c r="L25" s="196">
        <v>124.00799999999995</v>
      </c>
      <c r="M25" s="183">
        <v>0.7</v>
      </c>
      <c r="O25" s="105"/>
      <c r="Q25" s="176"/>
    </row>
    <row r="26" spans="2:17" ht="12.75">
      <c r="B26" s="821">
        <v>2011</v>
      </c>
      <c r="C26" s="171">
        <f>+D26+J26</f>
        <v>7311.774000000001</v>
      </c>
      <c r="D26" s="172">
        <f>SUM(E26:F26)</f>
        <v>7141.194000000001</v>
      </c>
      <c r="E26" s="192">
        <v>3310.4570000000003</v>
      </c>
      <c r="F26" s="192">
        <v>3830.7370000000005</v>
      </c>
      <c r="G26" s="174"/>
      <c r="H26" s="192"/>
      <c r="I26" s="192"/>
      <c r="J26" s="174">
        <f>SUM(K26:M26)</f>
        <v>170.57999999999998</v>
      </c>
      <c r="K26" s="192">
        <v>48.868999999999986</v>
      </c>
      <c r="L26" s="194">
        <v>121.01100000000002</v>
      </c>
      <c r="M26" s="184">
        <v>0.7</v>
      </c>
      <c r="O26" s="105"/>
      <c r="Q26" s="176"/>
    </row>
    <row r="27" spans="2:17" ht="13.5" thickBot="1">
      <c r="B27" s="177"/>
      <c r="C27" s="178"/>
      <c r="D27" s="179"/>
      <c r="E27" s="195"/>
      <c r="F27" s="195"/>
      <c r="G27" s="181"/>
      <c r="H27" s="195"/>
      <c r="I27" s="195"/>
      <c r="J27" s="181"/>
      <c r="K27" s="195"/>
      <c r="L27" s="196"/>
      <c r="M27" s="183"/>
      <c r="O27" s="105"/>
      <c r="Q27" s="176"/>
    </row>
    <row r="28" spans="2:13" ht="21" customHeight="1">
      <c r="B28" s="794" t="s">
        <v>167</v>
      </c>
      <c r="C28" s="1458">
        <f>(C26/C25)-1</f>
        <v>0.0003568122546404595</v>
      </c>
      <c r="D28" s="1435">
        <f>(D26/D25)-1</f>
        <v>0.0014171750509881509</v>
      </c>
      <c r="E28" s="1436">
        <f>(E26/E25)-1</f>
        <v>0.005782297940861492</v>
      </c>
      <c r="F28" s="1459">
        <f>(F26/F25)-1</f>
        <v>-0.0023246831818309888</v>
      </c>
      <c r="G28" s="1460"/>
      <c r="H28" s="1460"/>
      <c r="I28" s="1461"/>
      <c r="J28" s="1462">
        <f>(J26/J25)-1</f>
        <v>-0.042105144936488315</v>
      </c>
      <c r="K28" s="1436">
        <f>(K26/K25)-1</f>
        <v>-0.08433576915870367</v>
      </c>
      <c r="L28" s="1459">
        <f>(L26/L25)-1</f>
        <v>-0.024167795626088062</v>
      </c>
      <c r="M28" s="1379"/>
    </row>
    <row r="29" spans="2:23" ht="21" customHeight="1">
      <c r="B29" s="201" t="s">
        <v>171</v>
      </c>
      <c r="C29" s="1288">
        <f>((C26/C21)^(1/5))-1</f>
        <v>0.05384771935858712</v>
      </c>
      <c r="D29" s="1230">
        <f aca="true" t="shared" si="7" ref="D29:L29">((D26/D21)^(1/5))-1</f>
        <v>0.05707865263188272</v>
      </c>
      <c r="E29" s="1463">
        <f t="shared" si="7"/>
        <v>0.016305697689867227</v>
      </c>
      <c r="F29" s="1464">
        <f t="shared" si="7"/>
        <v>0.10199020298720418</v>
      </c>
      <c r="G29" s="1465"/>
      <c r="H29" s="1465"/>
      <c r="I29" s="1466"/>
      <c r="J29" s="1467">
        <f t="shared" si="7"/>
        <v>-0.04494737039278707</v>
      </c>
      <c r="K29" s="1463">
        <f t="shared" si="7"/>
        <v>-0.08093239392596463</v>
      </c>
      <c r="L29" s="1464">
        <f t="shared" si="7"/>
        <v>-0.027974789134171507</v>
      </c>
      <c r="M29" s="1379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2:23" ht="21" customHeight="1">
      <c r="B30" s="795" t="s">
        <v>169</v>
      </c>
      <c r="C30" s="1317">
        <f>(C26/C13)-1</f>
        <v>0.42007877097239765</v>
      </c>
      <c r="D30" s="1468">
        <f>(D26/(D13+G13))-1</f>
        <v>0.49085594225965967</v>
      </c>
      <c r="E30" s="1381">
        <f>(E26/(E13+H13))-1</f>
        <v>0.22746084903351727</v>
      </c>
      <c r="F30" s="1469">
        <f>(F26/(F13+I13))-1</f>
        <v>0.830261347348304</v>
      </c>
      <c r="G30" s="1465"/>
      <c r="H30" s="1465"/>
      <c r="I30" s="1466"/>
      <c r="J30" s="1470">
        <v>0.3987363644590931</v>
      </c>
      <c r="K30" s="1381">
        <v>0.3987363644590931</v>
      </c>
      <c r="L30" s="1469">
        <v>0.3987363644590931</v>
      </c>
      <c r="M30" s="1379"/>
      <c r="O30" s="200"/>
      <c r="P30" s="200"/>
      <c r="Q30" s="200"/>
      <c r="R30" s="200"/>
      <c r="S30" s="200"/>
      <c r="T30" s="200"/>
      <c r="U30" s="200"/>
      <c r="V30" s="200"/>
      <c r="W30" s="200"/>
    </row>
    <row r="31" spans="2:23" ht="21" customHeight="1" thickBot="1">
      <c r="B31" s="796" t="s">
        <v>170</v>
      </c>
      <c r="C31" s="1359">
        <f>((C26/C13)^(1/11))-1</f>
        <v>0.03239664612310755</v>
      </c>
      <c r="D31" s="1471">
        <f>((D26/(D13+G13))^(1/11))-1</f>
        <v>0.03697164232089878</v>
      </c>
      <c r="E31" s="1443">
        <f>((E26/(E13+H13))^(1/11))-1</f>
        <v>0.01880625915058487</v>
      </c>
      <c r="F31" s="1472">
        <f>((F26/(F13+I13))^(1/11))-1</f>
        <v>0.056488631218483576</v>
      </c>
      <c r="G31" s="1465"/>
      <c r="H31" s="1465"/>
      <c r="I31" s="1473"/>
      <c r="J31" s="1474">
        <v>0.030976378826905515</v>
      </c>
      <c r="K31" s="1443">
        <v>0.030976378826905515</v>
      </c>
      <c r="L31" s="1472">
        <v>0.030976378826905515</v>
      </c>
      <c r="M31" s="1379"/>
      <c r="O31" s="200"/>
      <c r="P31" s="200"/>
      <c r="Q31" s="200"/>
      <c r="R31" s="200"/>
      <c r="S31" s="200"/>
      <c r="T31" s="200"/>
      <c r="U31" s="200"/>
      <c r="V31" s="200"/>
      <c r="W31" s="200"/>
    </row>
    <row r="32" spans="2:23" ht="12.75">
      <c r="B32" t="s">
        <v>178</v>
      </c>
      <c r="C32" s="1334"/>
      <c r="D32" s="1335"/>
      <c r="G32" s="1336"/>
      <c r="H32" s="1337"/>
      <c r="I32" s="1337"/>
      <c r="J32" s="1334"/>
      <c r="O32" s="200"/>
      <c r="P32" s="200"/>
      <c r="Q32" s="200"/>
      <c r="R32" s="200"/>
      <c r="S32" s="200"/>
      <c r="T32" s="200"/>
      <c r="U32" s="200"/>
      <c r="V32" s="200"/>
      <c r="W32" s="200"/>
    </row>
    <row r="33" spans="2:23" ht="12.75">
      <c r="B33" s="110"/>
      <c r="O33" s="200"/>
      <c r="P33" s="200"/>
      <c r="Q33" s="200"/>
      <c r="R33" s="200"/>
      <c r="S33" s="200"/>
      <c r="T33" s="200"/>
      <c r="U33" s="200"/>
      <c r="V33" s="200"/>
      <c r="W33" s="200"/>
    </row>
    <row r="34" spans="2:23" ht="12.75">
      <c r="B34" s="34"/>
      <c r="O34" s="200"/>
      <c r="P34" s="200"/>
      <c r="Q34" s="200"/>
      <c r="R34" s="200"/>
      <c r="S34" s="200"/>
      <c r="T34" s="200"/>
      <c r="U34" s="200"/>
      <c r="V34" s="200"/>
      <c r="W34" s="200"/>
    </row>
    <row r="35" spans="8:23" ht="12.75">
      <c r="H35" s="13"/>
      <c r="I35" s="13"/>
      <c r="O35" s="200"/>
      <c r="P35" s="200"/>
      <c r="Q35" s="207"/>
      <c r="R35" s="207"/>
      <c r="S35" s="207"/>
      <c r="T35" s="200"/>
      <c r="U35" s="200"/>
      <c r="V35" s="200"/>
      <c r="W35" s="200"/>
    </row>
    <row r="36" spans="5:23" ht="12.75">
      <c r="E36" s="105"/>
      <c r="F36" s="105"/>
      <c r="H36" s="13"/>
      <c r="I36" s="13"/>
      <c r="O36" s="200"/>
      <c r="P36" s="200"/>
      <c r="Q36" s="207"/>
      <c r="R36" s="207"/>
      <c r="S36" s="207"/>
      <c r="T36" s="200"/>
      <c r="U36" s="200"/>
      <c r="V36" s="200"/>
      <c r="W36" s="200"/>
    </row>
    <row r="37" spans="9:23" ht="12.75">
      <c r="I37" s="13"/>
      <c r="O37" s="200"/>
      <c r="P37" s="200"/>
      <c r="Q37" s="207"/>
      <c r="R37" s="208"/>
      <c r="S37" s="208"/>
      <c r="T37" s="200"/>
      <c r="U37" s="200"/>
      <c r="V37" s="200"/>
      <c r="W37" s="200"/>
    </row>
    <row r="38" spans="7:23" ht="12.75">
      <c r="G38" s="105"/>
      <c r="O38" s="200"/>
      <c r="P38" s="200"/>
      <c r="Q38" s="207"/>
      <c r="R38" s="207"/>
      <c r="S38" s="207"/>
      <c r="T38" s="200"/>
      <c r="U38" s="200"/>
      <c r="V38" s="200"/>
      <c r="W38" s="200"/>
    </row>
    <row r="39" spans="7:23" ht="12.75">
      <c r="G39" s="105"/>
      <c r="O39" s="200"/>
      <c r="P39" s="200"/>
      <c r="Q39" s="200"/>
      <c r="R39" s="200"/>
      <c r="S39" s="200"/>
      <c r="T39" s="200"/>
      <c r="U39" s="200"/>
      <c r="V39" s="200"/>
      <c r="W39" s="200"/>
    </row>
    <row r="40" spans="15:23" ht="12.75">
      <c r="O40" s="200"/>
      <c r="P40" s="200"/>
      <c r="Q40" s="200"/>
      <c r="R40" s="200"/>
      <c r="S40" s="200"/>
      <c r="T40" s="200"/>
      <c r="U40" s="200"/>
      <c r="V40" s="200"/>
      <c r="W40" s="200"/>
    </row>
    <row r="41" spans="15:23" ht="12.75">
      <c r="O41" s="200"/>
      <c r="P41" s="200"/>
      <c r="Q41" s="200"/>
      <c r="R41" s="200"/>
      <c r="S41" s="200"/>
      <c r="T41" s="200"/>
      <c r="U41" s="200"/>
      <c r="V41" s="200"/>
      <c r="W41" s="200"/>
    </row>
    <row r="42" spans="15:23" ht="12.75">
      <c r="O42" s="200"/>
      <c r="P42" s="200"/>
      <c r="Q42" s="200"/>
      <c r="R42" s="200"/>
      <c r="S42" s="200"/>
      <c r="T42" s="200"/>
      <c r="U42" s="200"/>
      <c r="V42" s="200"/>
      <c r="W42" s="200"/>
    </row>
    <row r="43" spans="2:23" ht="15.75">
      <c r="B43" s="88" t="s">
        <v>77</v>
      </c>
      <c r="O43" s="200"/>
      <c r="P43" s="200"/>
      <c r="Q43" s="200"/>
      <c r="R43" s="200"/>
      <c r="S43" s="200"/>
      <c r="T43" s="200"/>
      <c r="U43" s="200"/>
      <c r="V43" s="200"/>
      <c r="W43" s="200"/>
    </row>
    <row r="44" spans="2:23" ht="12.75">
      <c r="B44" s="34"/>
      <c r="O44" s="200"/>
      <c r="P44" s="200"/>
      <c r="Q44" s="207"/>
      <c r="R44" s="207"/>
      <c r="S44" s="207"/>
      <c r="T44" s="200"/>
      <c r="U44" s="200"/>
      <c r="V44" s="200"/>
      <c r="W44" s="200"/>
    </row>
    <row r="45" spans="2:23" ht="13.5" thickBot="1">
      <c r="B45" s="34"/>
      <c r="O45" s="200"/>
      <c r="P45" s="200"/>
      <c r="Q45" s="207"/>
      <c r="R45" s="207"/>
      <c r="S45" s="207"/>
      <c r="T45" s="200"/>
      <c r="U45" s="200"/>
      <c r="V45" s="200"/>
      <c r="W45" s="200"/>
    </row>
    <row r="46" spans="2:23" ht="15.75" thickBot="1">
      <c r="B46" s="157" t="s">
        <v>47</v>
      </c>
      <c r="C46" s="209" t="s">
        <v>64</v>
      </c>
      <c r="D46" s="1582" t="s">
        <v>74</v>
      </c>
      <c r="E46" s="1583"/>
      <c r="F46" s="1584"/>
      <c r="G46" s="1588" t="s">
        <v>75</v>
      </c>
      <c r="H46" s="1583"/>
      <c r="I46" s="1584"/>
      <c r="J46" s="1585" t="s">
        <v>73</v>
      </c>
      <c r="K46" s="1586"/>
      <c r="L46" s="1587"/>
      <c r="O46" s="200"/>
      <c r="P46" s="200"/>
      <c r="Q46" s="207"/>
      <c r="R46" s="207"/>
      <c r="S46" s="207"/>
      <c r="T46" s="200"/>
      <c r="U46" s="200"/>
      <c r="V46" s="200"/>
      <c r="W46" s="200"/>
    </row>
    <row r="47" spans="2:23" ht="13.5" thickBot="1">
      <c r="B47" s="159"/>
      <c r="C47" s="163"/>
      <c r="D47" s="163" t="s">
        <v>68</v>
      </c>
      <c r="E47" s="162" t="s">
        <v>69</v>
      </c>
      <c r="F47" s="163" t="s">
        <v>70</v>
      </c>
      <c r="G47" s="210" t="s">
        <v>68</v>
      </c>
      <c r="H47" s="210" t="s">
        <v>69</v>
      </c>
      <c r="I47" s="211" t="s">
        <v>70</v>
      </c>
      <c r="J47" s="163" t="s">
        <v>68</v>
      </c>
      <c r="K47" s="163" t="s">
        <v>69</v>
      </c>
      <c r="L47" s="160" t="s">
        <v>70</v>
      </c>
      <c r="M47" s="24"/>
      <c r="O47" s="200"/>
      <c r="P47" s="200"/>
      <c r="Q47" s="200"/>
      <c r="R47" s="200"/>
      <c r="S47" s="200"/>
      <c r="T47" s="200"/>
      <c r="U47" s="200"/>
      <c r="V47" s="200"/>
      <c r="W47" s="200"/>
    </row>
    <row r="48" spans="2:23" ht="12.75">
      <c r="B48" s="164"/>
      <c r="C48" s="165"/>
      <c r="D48" s="166"/>
      <c r="E48" s="167"/>
      <c r="F48" s="167"/>
      <c r="G48" s="165"/>
      <c r="H48" s="168"/>
      <c r="I48" s="168"/>
      <c r="J48" s="165"/>
      <c r="K48" s="168"/>
      <c r="L48" s="212"/>
      <c r="M48" s="24"/>
      <c r="N48" s="105"/>
      <c r="O48" s="200"/>
      <c r="P48" s="200"/>
      <c r="Q48" s="200"/>
      <c r="R48" s="200"/>
      <c r="S48" s="200"/>
      <c r="T48" s="200"/>
      <c r="U48" s="200"/>
      <c r="V48" s="200"/>
      <c r="W48" s="200"/>
    </row>
    <row r="49" spans="2:23" ht="12.75">
      <c r="B49" s="823">
        <v>1995</v>
      </c>
      <c r="C49" s="178">
        <f aca="true" t="shared" si="8" ref="C49:C54">+D49+G49+J49</f>
        <v>1276</v>
      </c>
      <c r="D49" s="179">
        <f aca="true" t="shared" si="9" ref="D49:D54">SUM(E49:F49)</f>
        <v>380.07</v>
      </c>
      <c r="E49" s="180">
        <v>196.31</v>
      </c>
      <c r="F49" s="140">
        <v>183.76</v>
      </c>
      <c r="G49" s="181">
        <f aca="true" t="shared" si="10" ref="G49:G54">SUM(H49:I49)</f>
        <v>230.02</v>
      </c>
      <c r="H49" s="180">
        <v>0</v>
      </c>
      <c r="I49" s="140">
        <v>230.02</v>
      </c>
      <c r="J49" s="181">
        <f aca="true" t="shared" si="11" ref="J49:J54">SUM(K49:M49)</f>
        <v>665.91</v>
      </c>
      <c r="K49" s="182">
        <f>72.66+20.4+0.03</f>
        <v>93.09</v>
      </c>
      <c r="L49" s="213">
        <f>197.266+357.6+17.954</f>
        <v>572.8199999999999</v>
      </c>
      <c r="M49" s="214"/>
      <c r="N49" s="105"/>
      <c r="O49" s="208"/>
      <c r="P49" s="215"/>
      <c r="Q49" s="200"/>
      <c r="R49" s="216"/>
      <c r="S49" s="200"/>
      <c r="T49" s="200"/>
      <c r="U49" s="200"/>
      <c r="V49" s="200"/>
      <c r="W49" s="200"/>
    </row>
    <row r="50" spans="2:23" ht="12.75">
      <c r="B50" s="822">
        <v>1996</v>
      </c>
      <c r="C50" s="171">
        <f t="shared" si="8"/>
        <v>1309.724</v>
      </c>
      <c r="D50" s="172">
        <f t="shared" si="9"/>
        <v>383.87</v>
      </c>
      <c r="E50" s="173">
        <v>196.31</v>
      </c>
      <c r="F50" s="132">
        <v>187.56</v>
      </c>
      <c r="G50" s="174">
        <f t="shared" si="10"/>
        <v>230.02</v>
      </c>
      <c r="H50" s="173">
        <v>0</v>
      </c>
      <c r="I50" s="132">
        <v>230.02</v>
      </c>
      <c r="J50" s="174">
        <f t="shared" si="11"/>
        <v>695.834</v>
      </c>
      <c r="K50" s="134">
        <f>96.23</f>
        <v>96.23</v>
      </c>
      <c r="L50" s="217">
        <v>599.6039999999999</v>
      </c>
      <c r="M50" s="214"/>
      <c r="N50" s="105"/>
      <c r="O50" s="208"/>
      <c r="P50" s="215"/>
      <c r="Q50" s="200"/>
      <c r="R50" s="200"/>
      <c r="S50" s="200"/>
      <c r="T50" s="200"/>
      <c r="U50" s="200"/>
      <c r="V50" s="200"/>
      <c r="W50" s="200"/>
    </row>
    <row r="51" spans="2:23" ht="12.75">
      <c r="B51" s="823">
        <v>1997</v>
      </c>
      <c r="C51" s="178">
        <f t="shared" si="8"/>
        <v>867.4769999999999</v>
      </c>
      <c r="D51" s="179">
        <f t="shared" si="9"/>
        <v>174.036</v>
      </c>
      <c r="E51" s="180">
        <v>12.91</v>
      </c>
      <c r="F51" s="140">
        <v>161.126</v>
      </c>
      <c r="G51" s="181">
        <f t="shared" si="10"/>
        <v>69.38</v>
      </c>
      <c r="H51" s="180">
        <v>0</v>
      </c>
      <c r="I51" s="140">
        <v>69.38</v>
      </c>
      <c r="J51" s="181">
        <f t="shared" si="11"/>
        <v>624.0609999999999</v>
      </c>
      <c r="K51" s="182">
        <v>88.565</v>
      </c>
      <c r="L51" s="213">
        <v>535.496</v>
      </c>
      <c r="M51" s="218"/>
      <c r="N51" s="105"/>
      <c r="O51" s="208"/>
      <c r="P51" s="215"/>
      <c r="Q51" s="200"/>
      <c r="R51" s="200"/>
      <c r="S51" s="200"/>
      <c r="T51" s="200"/>
      <c r="U51" s="200"/>
      <c r="V51" s="200"/>
      <c r="W51" s="200"/>
    </row>
    <row r="52" spans="2:23" ht="12.75">
      <c r="B52" s="822">
        <v>1998</v>
      </c>
      <c r="C52" s="171">
        <f t="shared" si="8"/>
        <v>883.0120000000001</v>
      </c>
      <c r="D52" s="172">
        <f t="shared" si="9"/>
        <v>130.136</v>
      </c>
      <c r="E52" s="173">
        <v>12.91</v>
      </c>
      <c r="F52" s="132">
        <v>117.226</v>
      </c>
      <c r="G52" s="174">
        <f t="shared" si="10"/>
        <v>50.36</v>
      </c>
      <c r="H52" s="173">
        <v>0</v>
      </c>
      <c r="I52" s="132">
        <v>50.36</v>
      </c>
      <c r="J52" s="174">
        <f t="shared" si="11"/>
        <v>702.5160000000001</v>
      </c>
      <c r="K52" s="134">
        <v>91.735</v>
      </c>
      <c r="L52" s="217">
        <v>610.7810000000001</v>
      </c>
      <c r="M52" s="218"/>
      <c r="N52" s="105"/>
      <c r="O52" s="208"/>
      <c r="P52" s="215"/>
      <c r="Q52" s="200"/>
      <c r="R52" s="200"/>
      <c r="S52" s="200"/>
      <c r="T52" s="200"/>
      <c r="U52" s="200"/>
      <c r="V52" s="200"/>
      <c r="W52" s="200"/>
    </row>
    <row r="53" spans="2:23" ht="12.75">
      <c r="B53" s="823">
        <v>1999</v>
      </c>
      <c r="C53" s="178">
        <f t="shared" si="8"/>
        <v>914.185</v>
      </c>
      <c r="D53" s="179">
        <f t="shared" si="9"/>
        <v>86.16</v>
      </c>
      <c r="E53" s="180">
        <v>12.91</v>
      </c>
      <c r="F53" s="140">
        <v>73.25</v>
      </c>
      <c r="G53" s="181">
        <f t="shared" si="10"/>
        <v>47.75</v>
      </c>
      <c r="H53" s="180">
        <v>0</v>
      </c>
      <c r="I53" s="140">
        <v>47.75</v>
      </c>
      <c r="J53" s="181">
        <f t="shared" si="11"/>
        <v>780.275</v>
      </c>
      <c r="K53" s="182">
        <v>73.24099999999999</v>
      </c>
      <c r="L53" s="213">
        <v>707.034</v>
      </c>
      <c r="M53" s="218"/>
      <c r="N53" s="105"/>
      <c r="O53" s="208"/>
      <c r="P53" s="215"/>
      <c r="Q53" s="200"/>
      <c r="R53" s="200"/>
      <c r="S53" s="200"/>
      <c r="T53" s="200"/>
      <c r="U53" s="200"/>
      <c r="V53" s="200"/>
      <c r="W53" s="200"/>
    </row>
    <row r="54" spans="2:23" ht="12.75">
      <c r="B54" s="822">
        <v>2000</v>
      </c>
      <c r="C54" s="171">
        <f t="shared" si="8"/>
        <v>917.3380000000001</v>
      </c>
      <c r="D54" s="172">
        <f t="shared" si="9"/>
        <v>82.47</v>
      </c>
      <c r="E54" s="173">
        <v>12.91</v>
      </c>
      <c r="F54" s="132">
        <v>69.56</v>
      </c>
      <c r="G54" s="174">
        <f t="shared" si="10"/>
        <v>61.15</v>
      </c>
      <c r="H54" s="173">
        <v>0</v>
      </c>
      <c r="I54" s="132">
        <v>61.15</v>
      </c>
      <c r="J54" s="174">
        <f t="shared" si="11"/>
        <v>773.7180000000001</v>
      </c>
      <c r="K54" s="134">
        <v>64.655</v>
      </c>
      <c r="L54" s="217">
        <v>709.0630000000001</v>
      </c>
      <c r="M54" s="218"/>
      <c r="N54" s="105"/>
      <c r="O54" s="208"/>
      <c r="P54" s="215"/>
      <c r="Q54" s="200"/>
      <c r="R54" s="200"/>
      <c r="S54" s="200"/>
      <c r="T54" s="200"/>
      <c r="U54" s="200"/>
      <c r="V54" s="200"/>
      <c r="W54" s="200"/>
    </row>
    <row r="55" spans="2:23" ht="12.75">
      <c r="B55" s="822"/>
      <c r="C55" s="185"/>
      <c r="D55" s="186"/>
      <c r="E55" s="187"/>
      <c r="F55" s="188"/>
      <c r="G55" s="189"/>
      <c r="H55" s="187"/>
      <c r="I55" s="187"/>
      <c r="J55" s="189"/>
      <c r="K55" s="187"/>
      <c r="L55" s="219"/>
      <c r="M55" s="220"/>
      <c r="O55" s="200"/>
      <c r="P55" s="215"/>
      <c r="Q55" s="200"/>
      <c r="R55" s="200"/>
      <c r="S55" s="200"/>
      <c r="T55" s="200"/>
      <c r="U55" s="200"/>
      <c r="V55" s="200"/>
      <c r="W55" s="200"/>
    </row>
    <row r="56" spans="2:23" ht="12.75">
      <c r="B56" s="822"/>
      <c r="C56" s="185"/>
      <c r="D56" s="1580" t="s">
        <v>72</v>
      </c>
      <c r="E56" s="1581"/>
      <c r="F56" s="1581"/>
      <c r="G56" s="189"/>
      <c r="H56" s="187"/>
      <c r="I56" s="187"/>
      <c r="J56" s="189"/>
      <c r="K56" s="187"/>
      <c r="L56" s="219"/>
      <c r="M56" s="220"/>
      <c r="O56" s="200"/>
      <c r="P56" s="215"/>
      <c r="Q56" s="200"/>
      <c r="R56" s="200"/>
      <c r="S56" s="200"/>
      <c r="T56" s="200"/>
      <c r="U56" s="200"/>
      <c r="V56" s="200"/>
      <c r="W56" s="200"/>
    </row>
    <row r="57" spans="2:23" ht="12.75">
      <c r="B57" s="822">
        <v>2001</v>
      </c>
      <c r="C57" s="171">
        <f aca="true" t="shared" si="12" ref="C57:C63">+D57+J57</f>
        <v>855.879</v>
      </c>
      <c r="D57" s="172">
        <f aca="true" t="shared" si="13" ref="D57:D63">SUM(E57:F57)</f>
        <v>134.809</v>
      </c>
      <c r="E57" s="192">
        <v>12.91</v>
      </c>
      <c r="F57" s="193">
        <v>121.89899999999999</v>
      </c>
      <c r="G57" s="174"/>
      <c r="H57" s="192"/>
      <c r="I57" s="192"/>
      <c r="J57" s="174">
        <f aca="true" t="shared" si="14" ref="J57:J63">SUM(K57:M57)</f>
        <v>721.07</v>
      </c>
      <c r="K57" s="192">
        <v>63.985</v>
      </c>
      <c r="L57" s="221">
        <v>657.085</v>
      </c>
      <c r="M57" s="218"/>
      <c r="O57" s="200"/>
      <c r="P57" s="215"/>
      <c r="Q57" s="200"/>
      <c r="R57" s="200"/>
      <c r="S57" s="200"/>
      <c r="T57" s="200"/>
      <c r="U57" s="200"/>
      <c r="V57" s="200"/>
      <c r="W57" s="200"/>
    </row>
    <row r="58" spans="2:23" ht="12.75">
      <c r="B58" s="823">
        <v>2002</v>
      </c>
      <c r="C58" s="178">
        <f t="shared" si="12"/>
        <v>867.4819999999997</v>
      </c>
      <c r="D58" s="179">
        <f t="shared" si="13"/>
        <v>131.839</v>
      </c>
      <c r="E58" s="195">
        <v>12.91</v>
      </c>
      <c r="F58" s="195">
        <v>118.92899999999999</v>
      </c>
      <c r="G58" s="181"/>
      <c r="H58" s="195"/>
      <c r="I58" s="195"/>
      <c r="J58" s="181">
        <f t="shared" si="14"/>
        <v>735.6429999999998</v>
      </c>
      <c r="K58" s="195">
        <v>65.95899999999997</v>
      </c>
      <c r="L58" s="222">
        <v>669.6839999999999</v>
      </c>
      <c r="M58" s="218"/>
      <c r="O58" s="200"/>
      <c r="P58" s="200"/>
      <c r="Q58" s="200"/>
      <c r="R58" s="200"/>
      <c r="S58" s="200"/>
      <c r="T58" s="200"/>
      <c r="U58" s="200"/>
      <c r="V58" s="200"/>
      <c r="W58" s="200"/>
    </row>
    <row r="59" spans="2:23" ht="12.75">
      <c r="B59" s="822">
        <v>2003</v>
      </c>
      <c r="C59" s="171">
        <f t="shared" si="12"/>
        <v>874.96</v>
      </c>
      <c r="D59" s="172">
        <f t="shared" si="13"/>
        <v>131.74900000000002</v>
      </c>
      <c r="E59" s="192">
        <v>12.91</v>
      </c>
      <c r="F59" s="192">
        <v>118.83900000000001</v>
      </c>
      <c r="G59" s="174"/>
      <c r="H59" s="192"/>
      <c r="I59" s="192"/>
      <c r="J59" s="174">
        <f t="shared" si="14"/>
        <v>743.211</v>
      </c>
      <c r="K59" s="192">
        <v>72.576</v>
      </c>
      <c r="L59" s="221">
        <v>670.635</v>
      </c>
      <c r="M59" s="218"/>
      <c r="O59" s="200"/>
      <c r="P59" s="200"/>
      <c r="Q59" s="200"/>
      <c r="R59" s="200"/>
      <c r="S59" s="200"/>
      <c r="T59" s="200"/>
      <c r="U59" s="200"/>
      <c r="V59" s="200"/>
      <c r="W59" s="200"/>
    </row>
    <row r="60" spans="2:23" ht="12.75">
      <c r="B60" s="823">
        <v>2004</v>
      </c>
      <c r="C60" s="178">
        <f t="shared" si="12"/>
        <v>920.297</v>
      </c>
      <c r="D60" s="179">
        <f t="shared" si="13"/>
        <v>161.499</v>
      </c>
      <c r="E60" s="195">
        <v>12.91</v>
      </c>
      <c r="F60" s="195">
        <v>148.589</v>
      </c>
      <c r="G60" s="181"/>
      <c r="H60" s="195"/>
      <c r="I60" s="195"/>
      <c r="J60" s="181">
        <f t="shared" si="14"/>
        <v>758.798</v>
      </c>
      <c r="K60" s="195">
        <v>73.89799999999997</v>
      </c>
      <c r="L60" s="222">
        <v>684.9</v>
      </c>
      <c r="M60" s="218"/>
      <c r="O60" s="200"/>
      <c r="P60" s="200"/>
      <c r="Q60" s="200"/>
      <c r="R60" s="200"/>
      <c r="S60" s="200"/>
      <c r="T60" s="200"/>
      <c r="U60" s="200"/>
      <c r="V60" s="200"/>
      <c r="W60" s="200"/>
    </row>
    <row r="61" spans="2:23" ht="12.75">
      <c r="B61" s="822">
        <v>2005</v>
      </c>
      <c r="C61" s="171">
        <f t="shared" si="12"/>
        <v>979.8919999999999</v>
      </c>
      <c r="D61" s="172">
        <f t="shared" si="13"/>
        <v>179.03300000000002</v>
      </c>
      <c r="E61" s="192">
        <v>14.114</v>
      </c>
      <c r="F61" s="192">
        <v>164.919</v>
      </c>
      <c r="G61" s="174"/>
      <c r="H61" s="192"/>
      <c r="I61" s="192"/>
      <c r="J61" s="174">
        <f t="shared" si="14"/>
        <v>800.8589999999999</v>
      </c>
      <c r="K61" s="192">
        <v>73.74799999999998</v>
      </c>
      <c r="L61" s="221">
        <v>727.111</v>
      </c>
      <c r="M61" s="218"/>
      <c r="O61" s="200"/>
      <c r="P61" s="200"/>
      <c r="Q61" s="200"/>
      <c r="R61" s="200"/>
      <c r="S61" s="200"/>
      <c r="T61" s="200"/>
      <c r="U61" s="200"/>
      <c r="V61" s="200"/>
      <c r="W61" s="200"/>
    </row>
    <row r="62" spans="2:23" ht="12.75">
      <c r="B62" s="823">
        <v>2006</v>
      </c>
      <c r="C62" s="178">
        <f>+D62+J62</f>
        <v>1033.0019999999997</v>
      </c>
      <c r="D62" s="179">
        <f>SUM(E62:F62)</f>
        <v>185.02</v>
      </c>
      <c r="E62" s="195">
        <v>14.114</v>
      </c>
      <c r="F62" s="195">
        <v>170.906</v>
      </c>
      <c r="G62" s="181"/>
      <c r="H62" s="195"/>
      <c r="I62" s="195"/>
      <c r="J62" s="181">
        <f>SUM(K62:M62)</f>
        <v>847.9819999999997</v>
      </c>
      <c r="K62" s="195">
        <v>74.088</v>
      </c>
      <c r="L62" s="222">
        <v>773.8939999999998</v>
      </c>
      <c r="M62" s="218"/>
      <c r="O62" s="200"/>
      <c r="P62" s="200"/>
      <c r="Q62" s="200"/>
      <c r="R62" s="200"/>
      <c r="S62" s="200"/>
      <c r="T62" s="200"/>
      <c r="U62" s="200"/>
      <c r="V62" s="200"/>
      <c r="W62" s="200"/>
    </row>
    <row r="63" spans="2:23" ht="12.75">
      <c r="B63" s="822">
        <v>2007</v>
      </c>
      <c r="C63" s="171">
        <f t="shared" si="12"/>
        <v>1037.792</v>
      </c>
      <c r="D63" s="172">
        <f t="shared" si="13"/>
        <v>182.75000000000003</v>
      </c>
      <c r="E63" s="192">
        <v>13.704</v>
      </c>
      <c r="F63" s="192">
        <v>169.04600000000002</v>
      </c>
      <c r="G63" s="174"/>
      <c r="H63" s="192"/>
      <c r="I63" s="192"/>
      <c r="J63" s="174">
        <f t="shared" si="14"/>
        <v>855.0419999999999</v>
      </c>
      <c r="K63" s="192">
        <v>74.753</v>
      </c>
      <c r="L63" s="221">
        <v>780.2889999999999</v>
      </c>
      <c r="M63" s="218"/>
      <c r="O63" s="200"/>
      <c r="P63" s="200"/>
      <c r="Q63" s="200"/>
      <c r="R63" s="200"/>
      <c r="S63" s="200"/>
      <c r="T63" s="200"/>
      <c r="U63" s="200"/>
      <c r="V63" s="200"/>
      <c r="W63" s="200"/>
    </row>
    <row r="64" spans="2:23" ht="12.75">
      <c r="B64" s="823">
        <v>2008</v>
      </c>
      <c r="C64" s="178">
        <f>+D64+J64</f>
        <v>1160.9520000000007</v>
      </c>
      <c r="D64" s="179">
        <f>SUM(E64:F64)</f>
        <v>182.16</v>
      </c>
      <c r="E64" s="195">
        <v>13.704</v>
      </c>
      <c r="F64" s="195">
        <v>168.456</v>
      </c>
      <c r="G64" s="181"/>
      <c r="H64" s="195"/>
      <c r="I64" s="195"/>
      <c r="J64" s="181">
        <f>SUM(K64:M64)</f>
        <v>978.7920000000007</v>
      </c>
      <c r="K64" s="195">
        <v>76.28399999999998</v>
      </c>
      <c r="L64" s="222">
        <v>902.5080000000007</v>
      </c>
      <c r="M64" s="218"/>
      <c r="O64" s="200"/>
      <c r="P64" s="200"/>
      <c r="Q64" s="200"/>
      <c r="R64" s="200"/>
      <c r="S64" s="200"/>
      <c r="T64" s="200"/>
      <c r="U64" s="200"/>
      <c r="V64" s="200"/>
      <c r="W64" s="200"/>
    </row>
    <row r="65" spans="2:23" ht="12.75">
      <c r="B65" s="822">
        <v>2009</v>
      </c>
      <c r="C65" s="171">
        <f>+D65+J65</f>
        <v>1262.9800000000002</v>
      </c>
      <c r="D65" s="172">
        <f>SUM(E65:F65)</f>
        <v>187.75500000000005</v>
      </c>
      <c r="E65" s="192">
        <v>13.704</v>
      </c>
      <c r="F65" s="192">
        <v>174.05100000000004</v>
      </c>
      <c r="G65" s="174"/>
      <c r="H65" s="192"/>
      <c r="I65" s="192"/>
      <c r="J65" s="174">
        <f>SUM(K65:M65)</f>
        <v>1075.2250000000001</v>
      </c>
      <c r="K65" s="192">
        <v>80.63399999999999</v>
      </c>
      <c r="L65" s="221">
        <v>994.5910000000001</v>
      </c>
      <c r="M65" s="218"/>
      <c r="O65" s="200"/>
      <c r="P65" s="200"/>
      <c r="Q65" s="200"/>
      <c r="R65" s="200"/>
      <c r="S65" s="200"/>
      <c r="T65" s="200"/>
      <c r="U65" s="200"/>
      <c r="V65" s="200"/>
      <c r="W65" s="200"/>
    </row>
    <row r="66" spans="2:23" ht="12.75">
      <c r="B66" s="823">
        <v>2010</v>
      </c>
      <c r="C66" s="178">
        <f>+D66+J66</f>
        <v>1303.3909999999998</v>
      </c>
      <c r="D66" s="179">
        <f>SUM(E66:F66)</f>
        <v>200.025</v>
      </c>
      <c r="E66" s="195">
        <v>13.704</v>
      </c>
      <c r="F66" s="195">
        <v>186.321</v>
      </c>
      <c r="G66" s="181"/>
      <c r="H66" s="195"/>
      <c r="I66" s="195"/>
      <c r="J66" s="181">
        <f>SUM(K66:M66)</f>
        <v>1103.3659999999998</v>
      </c>
      <c r="K66" s="195">
        <v>79.10300000000001</v>
      </c>
      <c r="L66" s="222">
        <v>1024.2629999999997</v>
      </c>
      <c r="M66" s="218"/>
      <c r="O66" s="200"/>
      <c r="P66" s="200"/>
      <c r="Q66" s="200"/>
      <c r="R66" s="200"/>
      <c r="S66" s="200"/>
      <c r="T66" s="200"/>
      <c r="U66" s="200"/>
      <c r="V66" s="200"/>
      <c r="W66" s="200"/>
    </row>
    <row r="67" spans="2:23" ht="12.75">
      <c r="B67" s="821">
        <v>2011</v>
      </c>
      <c r="C67" s="171">
        <f>+D67+J67</f>
        <v>1244.5789999999997</v>
      </c>
      <c r="D67" s="172">
        <f>SUM(E67:F67)</f>
        <v>184.22099999999998</v>
      </c>
      <c r="E67" s="192">
        <v>12.5</v>
      </c>
      <c r="F67" s="192">
        <v>171.72099999999998</v>
      </c>
      <c r="G67" s="174"/>
      <c r="H67" s="192"/>
      <c r="I67" s="192"/>
      <c r="J67" s="174">
        <f>SUM(K67:M67)</f>
        <v>1060.3579999999997</v>
      </c>
      <c r="K67" s="192">
        <v>81.04399999999998</v>
      </c>
      <c r="L67" s="221">
        <v>979.3139999999999</v>
      </c>
      <c r="M67" s="218"/>
      <c r="O67" s="200"/>
      <c r="P67" s="200"/>
      <c r="Q67" s="200"/>
      <c r="R67" s="200"/>
      <c r="S67" s="200"/>
      <c r="T67" s="200"/>
      <c r="U67" s="200"/>
      <c r="V67" s="200"/>
      <c r="W67" s="200"/>
    </row>
    <row r="68" spans="2:23" ht="13.5" thickBot="1">
      <c r="B68" s="177"/>
      <c r="C68" s="178"/>
      <c r="D68" s="179"/>
      <c r="E68" s="195"/>
      <c r="F68" s="195"/>
      <c r="G68" s="181"/>
      <c r="H68" s="195"/>
      <c r="I68" s="195"/>
      <c r="J68" s="181"/>
      <c r="K68" s="195"/>
      <c r="L68" s="222"/>
      <c r="M68" s="218"/>
      <c r="O68" s="200"/>
      <c r="P68" s="200"/>
      <c r="Q68" s="200"/>
      <c r="R68" s="200"/>
      <c r="S68" s="200"/>
      <c r="T68" s="200"/>
      <c r="U68" s="200"/>
      <c r="V68" s="200"/>
      <c r="W68" s="200"/>
    </row>
    <row r="69" spans="2:23" ht="21" customHeight="1">
      <c r="B69" s="794" t="str">
        <f>B28</f>
        <v>Incremento 11/10</v>
      </c>
      <c r="C69" s="1475">
        <f>(C67/C66)-1</f>
        <v>-0.045122300215361455</v>
      </c>
      <c r="D69" s="1476">
        <f>(D67/D66)-1</f>
        <v>-0.07901012373453331</v>
      </c>
      <c r="E69" s="1365">
        <f>(E67/E66)-1</f>
        <v>-0.08785755983654409</v>
      </c>
      <c r="F69" s="1477">
        <f>(F67/F66)-1</f>
        <v>-0.07835939051422025</v>
      </c>
      <c r="G69" s="1460"/>
      <c r="H69" s="1460"/>
      <c r="I69" s="1461"/>
      <c r="J69" s="1478">
        <f>(J67/J66)-1</f>
        <v>-0.03897890636470591</v>
      </c>
      <c r="K69" s="1365">
        <f>(K67/K66)-1</f>
        <v>0.02453762815569549</v>
      </c>
      <c r="L69" s="1477">
        <f>(L67/L66)-1</f>
        <v>-0.043884236763409246</v>
      </c>
      <c r="M69" s="1446"/>
      <c r="O69" s="200"/>
      <c r="P69" s="200"/>
      <c r="Q69" s="200"/>
      <c r="R69" s="200"/>
      <c r="S69" s="200"/>
      <c r="T69" s="200"/>
      <c r="U69" s="200"/>
      <c r="V69" s="200"/>
      <c r="W69" s="200"/>
    </row>
    <row r="70" spans="2:23" ht="21" customHeight="1">
      <c r="B70" s="201" t="s">
        <v>171</v>
      </c>
      <c r="C70" s="1288">
        <f>((C67/C62)^(1/5))-1</f>
        <v>0.037968708956288344</v>
      </c>
      <c r="D70" s="1230">
        <f aca="true" t="shared" si="15" ref="D70:L70">((D67/D62)^(1/5))-1</f>
        <v>-0.0008651862115033326</v>
      </c>
      <c r="E70" s="1463">
        <f t="shared" si="15"/>
        <v>-0.02399514056689389</v>
      </c>
      <c r="F70" s="1464">
        <f t="shared" si="15"/>
        <v>0.0009519265982345093</v>
      </c>
      <c r="G70" s="1465"/>
      <c r="H70" s="1465"/>
      <c r="I70" s="1466"/>
      <c r="J70" s="1467">
        <f t="shared" si="15"/>
        <v>0.045714612436094315</v>
      </c>
      <c r="K70" s="1463">
        <f t="shared" si="15"/>
        <v>0.018109756609181682</v>
      </c>
      <c r="L70" s="1464">
        <f t="shared" si="15"/>
        <v>0.04820951273360641</v>
      </c>
      <c r="M70" s="1446"/>
      <c r="O70" s="200"/>
      <c r="P70" s="200"/>
      <c r="Q70" s="200"/>
      <c r="R70" s="200"/>
      <c r="S70" s="200"/>
      <c r="T70" s="200"/>
      <c r="U70" s="200"/>
      <c r="V70" s="200"/>
      <c r="W70" s="200"/>
    </row>
    <row r="71" spans="2:23" ht="20.25" customHeight="1">
      <c r="B71" s="795" t="str">
        <f>B30</f>
        <v>Incremento 11/00</v>
      </c>
      <c r="C71" s="1317">
        <f>(C67/C54)-1</f>
        <v>0.35672892652435584</v>
      </c>
      <c r="D71" s="1468">
        <f>(D67/(D54+G54))-1</f>
        <v>0.2826973959058625</v>
      </c>
      <c r="E71" s="1381">
        <f>(E67/(E54+H54))-1</f>
        <v>-0.031758326878388865</v>
      </c>
      <c r="F71" s="1469">
        <f>(F67/(F54+I54))-1</f>
        <v>0.31375564226149466</v>
      </c>
      <c r="G71" s="1465"/>
      <c r="H71" s="1465"/>
      <c r="I71" s="1466"/>
      <c r="J71" s="1470">
        <f>(J67/J54)-1</f>
        <v>0.37047089508063613</v>
      </c>
      <c r="K71" s="1381">
        <f>(K67/K54)-1</f>
        <v>0.25348387595700217</v>
      </c>
      <c r="L71" s="1469">
        <f>(L67/L54)-1</f>
        <v>0.38113820633709516</v>
      </c>
      <c r="M71" s="1446"/>
      <c r="O71" s="200"/>
      <c r="P71" s="200"/>
      <c r="Q71" s="200"/>
      <c r="R71" s="200"/>
      <c r="S71" s="200"/>
      <c r="T71" s="200"/>
      <c r="U71" s="200"/>
      <c r="V71" s="200"/>
      <c r="W71" s="200"/>
    </row>
    <row r="72" spans="2:23" ht="21" customHeight="1" thickBot="1">
      <c r="B72" s="796" t="str">
        <f>B31</f>
        <v>Variación media 11/00</v>
      </c>
      <c r="C72" s="1359">
        <f>((C67/C54)^(1/11))-1</f>
        <v>0.02812241070155319</v>
      </c>
      <c r="D72" s="1471">
        <f>((D67/(D54+G54))^(1/11))-1</f>
        <v>0.022891274315826937</v>
      </c>
      <c r="E72" s="1479">
        <f>((E67/(E54+H54))^(1/11))-1</f>
        <v>-0.002929660195467809</v>
      </c>
      <c r="F72" s="1472">
        <f>((F67/(F54+I54))^(1/11))-1</f>
        <v>0.025118459523616243</v>
      </c>
      <c r="G72" s="1465"/>
      <c r="H72" s="1465"/>
      <c r="I72" s="1473"/>
      <c r="J72" s="1474">
        <f>((J67/J54)^(1/11))-1</f>
        <v>0.02906477052087153</v>
      </c>
      <c r="K72" s="1443">
        <f>((K67/K54)^(1/11))-1</f>
        <v>0.020751170329804003</v>
      </c>
      <c r="L72" s="1472">
        <f>((L67/L54)^(1/11))-1</f>
        <v>0.02979038091631958</v>
      </c>
      <c r="M72" s="1446"/>
      <c r="O72" s="200"/>
      <c r="P72" s="200"/>
      <c r="Q72" s="200"/>
      <c r="R72" s="200"/>
      <c r="S72" s="200"/>
      <c r="T72" s="200"/>
      <c r="U72" s="200"/>
      <c r="V72" s="200"/>
      <c r="W72" s="200"/>
    </row>
    <row r="73" spans="2:23" ht="12.75">
      <c r="B73" t="s">
        <v>178</v>
      </c>
      <c r="C73" s="1334"/>
      <c r="D73" s="1335"/>
      <c r="G73" s="1336"/>
      <c r="H73" s="1337"/>
      <c r="I73" s="1337"/>
      <c r="J73" s="1334"/>
      <c r="O73" s="200"/>
      <c r="P73" s="200"/>
      <c r="Q73" s="200"/>
      <c r="R73" s="200"/>
      <c r="S73" s="200"/>
      <c r="T73" s="200"/>
      <c r="U73" s="200"/>
      <c r="V73" s="200"/>
      <c r="W73" s="200"/>
    </row>
    <row r="74" spans="2:23" ht="12.75">
      <c r="B74" s="110"/>
      <c r="O74" s="200"/>
      <c r="P74" s="200"/>
      <c r="Q74" s="200"/>
      <c r="R74" s="200"/>
      <c r="S74" s="200"/>
      <c r="T74" s="200"/>
      <c r="U74" s="200"/>
      <c r="V74" s="200"/>
      <c r="W74" s="200"/>
    </row>
    <row r="75" spans="2:23" ht="12.75">
      <c r="B75" s="34"/>
      <c r="O75" s="200"/>
      <c r="P75" s="200"/>
      <c r="Q75" s="200"/>
      <c r="R75" s="200"/>
      <c r="S75" s="200"/>
      <c r="T75" s="200"/>
      <c r="U75" s="200"/>
      <c r="V75" s="200"/>
      <c r="W75" s="200"/>
    </row>
    <row r="76" spans="15:23" ht="12.75">
      <c r="O76" s="200"/>
      <c r="P76" s="200"/>
      <c r="Q76" s="200"/>
      <c r="R76" s="200"/>
      <c r="S76" s="200"/>
      <c r="T76" s="200"/>
      <c r="U76" s="200"/>
      <c r="V76" s="200"/>
      <c r="W76" s="200"/>
    </row>
    <row r="77" spans="5:23" ht="12.75">
      <c r="E77" s="105"/>
      <c r="F77" s="105"/>
      <c r="O77" s="200"/>
      <c r="P77" s="200"/>
      <c r="Q77" s="200"/>
      <c r="R77" s="200"/>
      <c r="S77" s="200"/>
      <c r="T77" s="200"/>
      <c r="U77" s="200"/>
      <c r="V77" s="200"/>
      <c r="W77" s="200"/>
    </row>
    <row r="78" spans="15:23" ht="12.75">
      <c r="O78" s="200"/>
      <c r="P78" s="200"/>
      <c r="Q78" s="200"/>
      <c r="R78" s="200"/>
      <c r="S78" s="200"/>
      <c r="T78" s="200"/>
      <c r="U78" s="200"/>
      <c r="V78" s="200"/>
      <c r="W78" s="200"/>
    </row>
    <row r="79" spans="4:23" ht="12.75">
      <c r="D79" s="105"/>
      <c r="E79" s="105"/>
      <c r="F79" s="105"/>
      <c r="O79" s="200"/>
      <c r="P79" s="200"/>
      <c r="Q79" s="200"/>
      <c r="R79" s="200"/>
      <c r="S79" s="200"/>
      <c r="T79" s="200"/>
      <c r="U79" s="200"/>
      <c r="V79" s="200"/>
      <c r="W79" s="200"/>
    </row>
    <row r="80" spans="4:23" ht="12.75">
      <c r="D80" s="105"/>
      <c r="E80" s="105"/>
      <c r="F80" s="105"/>
      <c r="O80" s="200"/>
      <c r="P80" s="200"/>
      <c r="Q80" s="200"/>
      <c r="R80" s="200"/>
      <c r="S80" s="200"/>
      <c r="T80" s="200"/>
      <c r="U80" s="200"/>
      <c r="V80" s="200"/>
      <c r="W80" s="200"/>
    </row>
    <row r="81" spans="4:6" ht="12.75">
      <c r="D81" s="105"/>
      <c r="E81" s="105"/>
      <c r="F81" s="105"/>
    </row>
    <row r="82" spans="4:6" ht="12.75">
      <c r="D82" s="105"/>
      <c r="E82" s="105"/>
      <c r="F82" s="105"/>
    </row>
  </sheetData>
  <sheetProtection password="B728" sheet="1"/>
  <mergeCells count="8">
    <mergeCell ref="D56:F56"/>
    <mergeCell ref="D5:F5"/>
    <mergeCell ref="G5:I5"/>
    <mergeCell ref="J5:M5"/>
    <mergeCell ref="D15:F15"/>
    <mergeCell ref="D46:F46"/>
    <mergeCell ref="G46:I46"/>
    <mergeCell ref="J46:L46"/>
  </mergeCells>
  <printOptions/>
  <pageMargins left="0.66" right="0.75" top="0.89" bottom="1" header="0" footer="0"/>
  <pageSetup fitToHeight="1" fitToWidth="1"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Z67"/>
  <sheetViews>
    <sheetView view="pageBreakPreview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1.8515625" style="0" customWidth="1"/>
    <col min="4" max="4" width="9.140625" style="0" bestFit="1" customWidth="1"/>
    <col min="5" max="5" width="8.57421875" style="0" customWidth="1"/>
    <col min="6" max="6" width="8.00390625" style="0" customWidth="1"/>
    <col min="7" max="7" width="11.140625" style="0" customWidth="1"/>
    <col min="8" max="8" width="11.7109375" style="0" customWidth="1"/>
    <col min="9" max="9" width="9.28125" style="0" customWidth="1"/>
    <col min="10" max="10" width="7.28125" style="0" customWidth="1"/>
    <col min="11" max="11" width="9.28125" style="0" customWidth="1"/>
    <col min="12" max="12" width="9.8515625" style="0" customWidth="1"/>
    <col min="13" max="13" width="8.7109375" style="0" customWidth="1"/>
  </cols>
  <sheetData>
    <row r="1" spans="2:13" ht="20.25"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</row>
    <row r="2" ht="20.25">
      <c r="A2" s="102" t="s">
        <v>78</v>
      </c>
    </row>
    <row r="3" spans="3:13" ht="15">
      <c r="C3" s="103"/>
      <c r="D3" s="103"/>
      <c r="E3" s="103"/>
      <c r="F3" s="103"/>
      <c r="G3" s="103"/>
      <c r="H3" s="103"/>
      <c r="I3" s="113"/>
      <c r="J3" s="104"/>
      <c r="K3" s="104"/>
      <c r="L3" s="104"/>
      <c r="M3" s="104"/>
    </row>
    <row r="4" spans="2:26" ht="18">
      <c r="B4" s="10" t="s">
        <v>79</v>
      </c>
      <c r="C4" s="114"/>
      <c r="D4" s="114"/>
      <c r="E4" s="114"/>
      <c r="F4" s="114"/>
      <c r="G4" s="114"/>
      <c r="S4" s="24"/>
      <c r="T4" s="24"/>
      <c r="U4" s="24"/>
      <c r="V4" s="24"/>
      <c r="W4" s="24"/>
      <c r="X4" s="24"/>
      <c r="Y4" s="24"/>
      <c r="Z4" s="24"/>
    </row>
    <row r="5" spans="19:26" ht="13.5" thickBot="1">
      <c r="S5" s="24"/>
      <c r="T5" s="24"/>
      <c r="U5" s="24"/>
      <c r="V5" s="24"/>
      <c r="W5" s="24"/>
      <c r="X5" s="24"/>
      <c r="Y5" s="24"/>
      <c r="Z5" s="24"/>
    </row>
    <row r="6" spans="2:26" ht="15.75" customHeight="1">
      <c r="B6" s="115"/>
      <c r="C6" s="116"/>
      <c r="D6" s="117" t="s">
        <v>56</v>
      </c>
      <c r="E6" s="118"/>
      <c r="F6" s="118"/>
      <c r="G6" s="117" t="s">
        <v>62</v>
      </c>
      <c r="H6" s="118"/>
      <c r="I6" s="119"/>
      <c r="J6" s="119"/>
      <c r="K6" s="117" t="s">
        <v>63</v>
      </c>
      <c r="L6" s="120"/>
      <c r="M6" s="121"/>
      <c r="S6" s="24"/>
      <c r="T6" s="24"/>
      <c r="U6" s="1400"/>
      <c r="V6" s="1400"/>
      <c r="W6" s="1400"/>
      <c r="X6" s="24"/>
      <c r="Y6" s="24"/>
      <c r="Z6" s="24"/>
    </row>
    <row r="7" spans="2:26" ht="13.5" thickBot="1">
      <c r="B7" s="122" t="s">
        <v>47</v>
      </c>
      <c r="C7" s="123" t="s">
        <v>55</v>
      </c>
      <c r="D7" s="124" t="s">
        <v>65</v>
      </c>
      <c r="E7" s="125" t="s">
        <v>66</v>
      </c>
      <c r="F7" s="125" t="s">
        <v>67</v>
      </c>
      <c r="G7" s="126" t="s">
        <v>55</v>
      </c>
      <c r="H7" s="125" t="s">
        <v>65</v>
      </c>
      <c r="I7" s="125" t="s">
        <v>66</v>
      </c>
      <c r="J7" s="125" t="s">
        <v>67</v>
      </c>
      <c r="K7" s="126" t="s">
        <v>55</v>
      </c>
      <c r="L7" s="127" t="s">
        <v>65</v>
      </c>
      <c r="M7" s="128" t="s">
        <v>66</v>
      </c>
      <c r="P7" s="106"/>
      <c r="Q7" s="106"/>
      <c r="R7" s="106"/>
      <c r="S7" s="24"/>
      <c r="T7" s="24"/>
      <c r="U7" s="278"/>
      <c r="V7" s="313"/>
      <c r="W7" s="24"/>
      <c r="X7" s="24"/>
      <c r="Y7" s="24"/>
      <c r="Z7" s="24"/>
    </row>
    <row r="8" spans="2:26" ht="12.75">
      <c r="B8" s="129"/>
      <c r="C8" s="130"/>
      <c r="D8" s="131"/>
      <c r="E8" s="132"/>
      <c r="F8" s="133"/>
      <c r="G8" s="134"/>
      <c r="H8" s="132"/>
      <c r="I8" s="132"/>
      <c r="J8" s="133"/>
      <c r="K8" s="131"/>
      <c r="L8" s="135"/>
      <c r="M8" s="136"/>
      <c r="P8" s="106"/>
      <c r="Q8" s="106"/>
      <c r="R8" s="106"/>
      <c r="S8" s="24"/>
      <c r="T8" s="24"/>
      <c r="U8" s="278"/>
      <c r="V8" s="313"/>
      <c r="W8" s="1401"/>
      <c r="X8" s="24"/>
      <c r="Y8" s="24"/>
      <c r="Z8" s="24"/>
    </row>
    <row r="9" spans="2:26" ht="12.75">
      <c r="B9" s="137">
        <v>1995</v>
      </c>
      <c r="C9" s="138">
        <v>4075.4080000000004</v>
      </c>
      <c r="D9" s="139">
        <v>2474.885</v>
      </c>
      <c r="E9" s="140">
        <v>1600.523</v>
      </c>
      <c r="F9" s="141"/>
      <c r="G9" s="139">
        <v>3195.392</v>
      </c>
      <c r="H9" s="139">
        <v>2205.915</v>
      </c>
      <c r="I9" s="182">
        <v>989.477</v>
      </c>
      <c r="J9" s="141"/>
      <c r="K9" s="139">
        <v>880.016</v>
      </c>
      <c r="L9" s="142">
        <v>268.97</v>
      </c>
      <c r="M9" s="143">
        <v>611.0459999999999</v>
      </c>
      <c r="P9" s="106"/>
      <c r="Q9" s="106"/>
      <c r="R9" s="106"/>
      <c r="S9" s="24"/>
      <c r="T9" s="24"/>
      <c r="U9" s="278"/>
      <c r="V9" s="313"/>
      <c r="W9" s="1401"/>
      <c r="X9" s="24"/>
      <c r="Y9" s="24"/>
      <c r="Z9" s="24"/>
    </row>
    <row r="10" spans="2:26" ht="12.75">
      <c r="B10" s="129">
        <v>1996</v>
      </c>
      <c r="C10" s="130">
        <v>4003.201</v>
      </c>
      <c r="D10" s="131">
        <v>2201.877</v>
      </c>
      <c r="E10" s="144">
        <v>1801.074</v>
      </c>
      <c r="F10" s="145">
        <v>0.25</v>
      </c>
      <c r="G10" s="131">
        <v>2879.501</v>
      </c>
      <c r="H10" s="131">
        <v>1924.851</v>
      </c>
      <c r="I10" s="144">
        <v>954.4</v>
      </c>
      <c r="J10" s="146">
        <v>0.25</v>
      </c>
      <c r="K10" s="131">
        <v>1123.7</v>
      </c>
      <c r="L10" s="135">
        <v>277.026</v>
      </c>
      <c r="M10" s="136">
        <v>846.6740000000001</v>
      </c>
      <c r="P10" s="106"/>
      <c r="Q10" s="106"/>
      <c r="R10" s="106"/>
      <c r="S10" s="24"/>
      <c r="T10" s="24"/>
      <c r="U10" s="278"/>
      <c r="V10" s="313"/>
      <c r="W10" s="1401"/>
      <c r="X10" s="24"/>
      <c r="Y10" s="24"/>
      <c r="Z10" s="24"/>
    </row>
    <row r="11" spans="2:26" ht="12.75">
      <c r="B11" s="137">
        <v>1997</v>
      </c>
      <c r="C11" s="138">
        <v>4581.019</v>
      </c>
      <c r="D11" s="139">
        <v>2210.904</v>
      </c>
      <c r="E11" s="147">
        <v>2369.865</v>
      </c>
      <c r="F11" s="148">
        <v>0.25</v>
      </c>
      <c r="G11" s="139">
        <v>3826.8329999999996</v>
      </c>
      <c r="H11" s="139">
        <v>2120.171</v>
      </c>
      <c r="I11" s="147">
        <v>1706.4119999999998</v>
      </c>
      <c r="J11" s="149">
        <v>0.25</v>
      </c>
      <c r="K11" s="139">
        <v>754.1859999999999</v>
      </c>
      <c r="L11" s="142">
        <v>90.733</v>
      </c>
      <c r="M11" s="143">
        <v>663.453</v>
      </c>
      <c r="P11" s="106"/>
      <c r="Q11" s="106"/>
      <c r="R11" s="106"/>
      <c r="S11" s="24"/>
      <c r="T11" s="24"/>
      <c r="U11" s="278"/>
      <c r="V11" s="313"/>
      <c r="W11" s="1401"/>
      <c r="X11" s="24"/>
      <c r="Y11" s="24"/>
      <c r="Z11" s="24"/>
    </row>
    <row r="12" spans="2:26" ht="12.75">
      <c r="B12" s="129">
        <v>1998</v>
      </c>
      <c r="C12" s="130">
        <v>4781.630999999999</v>
      </c>
      <c r="D12" s="131">
        <v>2116.8689999999997</v>
      </c>
      <c r="E12" s="144">
        <v>2664.5119999999997</v>
      </c>
      <c r="F12" s="145">
        <v>0.25</v>
      </c>
      <c r="G12" s="131">
        <v>4020.8509999999997</v>
      </c>
      <c r="H12" s="134">
        <v>2022.9019999999998</v>
      </c>
      <c r="I12" s="132">
        <v>1997.649</v>
      </c>
      <c r="J12" s="146">
        <v>0.3</v>
      </c>
      <c r="K12" s="131">
        <v>760.83</v>
      </c>
      <c r="L12" s="135">
        <v>93.96700000000001</v>
      </c>
      <c r="M12" s="136">
        <v>666.8629999999999</v>
      </c>
      <c r="P12" s="106"/>
      <c r="Q12" s="106"/>
      <c r="R12" s="106"/>
      <c r="S12" s="24"/>
      <c r="T12" s="24"/>
      <c r="U12" s="278"/>
      <c r="V12" s="313"/>
      <c r="W12" s="1401"/>
      <c r="X12" s="24"/>
      <c r="Y12" s="24"/>
      <c r="Z12" s="24"/>
    </row>
    <row r="13" spans="2:26" ht="12.75">
      <c r="B13" s="137">
        <v>1999</v>
      </c>
      <c r="C13" s="138">
        <v>5116.156</v>
      </c>
      <c r="D13" s="139">
        <v>2318.108</v>
      </c>
      <c r="E13" s="147">
        <v>2797.348</v>
      </c>
      <c r="F13" s="148">
        <v>0.7</v>
      </c>
      <c r="G13" s="139">
        <v>4317.928999999999</v>
      </c>
      <c r="H13" s="182">
        <v>2242.625</v>
      </c>
      <c r="I13" s="147">
        <v>2074.604</v>
      </c>
      <c r="J13" s="149">
        <v>0.7</v>
      </c>
      <c r="K13" s="139">
        <v>798.227</v>
      </c>
      <c r="L13" s="142">
        <v>75.48299999999999</v>
      </c>
      <c r="M13" s="143">
        <v>722.744</v>
      </c>
      <c r="P13" s="106"/>
      <c r="Q13" s="106"/>
      <c r="R13" s="106"/>
      <c r="S13" s="24"/>
      <c r="T13" s="24"/>
      <c r="U13" s="278"/>
      <c r="V13" s="313"/>
      <c r="W13" s="1401"/>
      <c r="X13" s="24"/>
      <c r="Y13" s="24"/>
      <c r="Z13" s="24"/>
    </row>
    <row r="14" spans="2:26" ht="12.75">
      <c r="B14" s="129">
        <v>2000</v>
      </c>
      <c r="C14" s="130">
        <v>5554.8460000000005</v>
      </c>
      <c r="D14" s="131">
        <v>2650.8950000000004</v>
      </c>
      <c r="E14" s="144">
        <v>2903.251</v>
      </c>
      <c r="F14" s="145">
        <v>0.7</v>
      </c>
      <c r="G14" s="131">
        <v>4775.935</v>
      </c>
      <c r="H14" s="134">
        <v>2575.9240000000004</v>
      </c>
      <c r="I14" s="144">
        <v>2199.311</v>
      </c>
      <c r="J14" s="146">
        <v>0.7</v>
      </c>
      <c r="K14" s="131">
        <v>778.9110000000001</v>
      </c>
      <c r="L14" s="135">
        <v>74.971</v>
      </c>
      <c r="M14" s="136">
        <v>703.94</v>
      </c>
      <c r="O14" s="95"/>
      <c r="P14" s="106"/>
      <c r="Q14" s="106"/>
      <c r="R14" s="106"/>
      <c r="S14" s="24"/>
      <c r="T14" s="24"/>
      <c r="U14" s="278"/>
      <c r="V14" s="313"/>
      <c r="W14" s="1401"/>
      <c r="X14" s="24"/>
      <c r="Y14" s="24"/>
      <c r="Z14" s="24"/>
    </row>
    <row r="15" spans="2:26" ht="12.75">
      <c r="B15" s="137">
        <v>2001</v>
      </c>
      <c r="C15" s="138">
        <v>5387.177</v>
      </c>
      <c r="D15" s="139">
        <v>2744.5029999999997</v>
      </c>
      <c r="E15" s="147">
        <v>2641.974</v>
      </c>
      <c r="F15" s="149">
        <v>0.7</v>
      </c>
      <c r="G15" s="147">
        <v>4642.063999999999</v>
      </c>
      <c r="H15" s="147">
        <v>2674.8349999999996</v>
      </c>
      <c r="I15" s="147">
        <v>1966.529</v>
      </c>
      <c r="J15" s="149">
        <v>0.7</v>
      </c>
      <c r="K15" s="147">
        <v>745.1130000000002</v>
      </c>
      <c r="L15" s="149">
        <v>69.66799999999999</v>
      </c>
      <c r="M15" s="143">
        <v>675.445</v>
      </c>
      <c r="P15" s="106"/>
      <c r="Q15" s="106"/>
      <c r="R15" s="106"/>
      <c r="S15" s="24"/>
      <c r="T15" s="24"/>
      <c r="U15" s="278"/>
      <c r="V15" s="313"/>
      <c r="W15" s="1401"/>
      <c r="X15" s="24"/>
      <c r="Y15" s="24"/>
      <c r="Z15" s="24"/>
    </row>
    <row r="16" spans="2:26" ht="12.75">
      <c r="B16" s="129">
        <v>2002</v>
      </c>
      <c r="C16" s="130">
        <v>5395.669</v>
      </c>
      <c r="D16" s="131">
        <v>2775.2819999999997</v>
      </c>
      <c r="E16" s="144">
        <v>2619.6870000000004</v>
      </c>
      <c r="F16" s="146">
        <v>0.7</v>
      </c>
      <c r="G16" s="144">
        <v>4657.826999999999</v>
      </c>
      <c r="H16" s="144">
        <v>2702.863</v>
      </c>
      <c r="I16" s="144">
        <v>1954.264</v>
      </c>
      <c r="J16" s="146">
        <v>0.7</v>
      </c>
      <c r="K16" s="144">
        <v>737.8420000000006</v>
      </c>
      <c r="L16" s="146">
        <v>72.419</v>
      </c>
      <c r="M16" s="136">
        <v>665.4230000000006</v>
      </c>
      <c r="P16" s="106"/>
      <c r="Q16" s="106"/>
      <c r="R16" s="106"/>
      <c r="S16" s="24"/>
      <c r="T16" s="24"/>
      <c r="U16" s="24"/>
      <c r="V16" s="24"/>
      <c r="W16" s="24"/>
      <c r="X16" s="24"/>
      <c r="Y16" s="24"/>
      <c r="Z16" s="24"/>
    </row>
    <row r="17" spans="2:26" ht="12.75">
      <c r="B17" s="137">
        <v>2003</v>
      </c>
      <c r="C17" s="138">
        <v>5421.807</v>
      </c>
      <c r="D17" s="139">
        <v>2790.273</v>
      </c>
      <c r="E17" s="147">
        <v>2630.8340000000003</v>
      </c>
      <c r="F17" s="149">
        <v>0.7</v>
      </c>
      <c r="G17" s="147">
        <v>4686.394</v>
      </c>
      <c r="H17" s="147">
        <v>2720.2290000000003</v>
      </c>
      <c r="I17" s="147">
        <v>1965.465</v>
      </c>
      <c r="J17" s="149">
        <v>0.7</v>
      </c>
      <c r="K17" s="147">
        <v>735.4130000000004</v>
      </c>
      <c r="L17" s="149">
        <v>70.04399999999998</v>
      </c>
      <c r="M17" s="143">
        <v>665.3690000000004</v>
      </c>
      <c r="P17" s="106"/>
      <c r="Q17" s="106"/>
      <c r="R17" s="106"/>
      <c r="S17" s="24"/>
      <c r="T17" s="24"/>
      <c r="U17" s="24"/>
      <c r="V17" s="24"/>
      <c r="W17" s="24"/>
      <c r="X17" s="24"/>
      <c r="Y17" s="24"/>
      <c r="Z17" s="24"/>
    </row>
    <row r="18" spans="2:26" ht="12.75">
      <c r="B18" s="129">
        <v>2004</v>
      </c>
      <c r="C18" s="130">
        <v>5417.959070000002</v>
      </c>
      <c r="D18" s="131">
        <v>2815.004070000001</v>
      </c>
      <c r="E18" s="144">
        <v>2602.255</v>
      </c>
      <c r="F18" s="146">
        <v>0.7</v>
      </c>
      <c r="G18" s="144">
        <v>4657.315070000001</v>
      </c>
      <c r="H18" s="144">
        <v>2747.272070000001</v>
      </c>
      <c r="I18" s="144">
        <v>1909.343</v>
      </c>
      <c r="J18" s="146">
        <v>0.7</v>
      </c>
      <c r="K18" s="144">
        <v>760.6440000000003</v>
      </c>
      <c r="L18" s="146">
        <v>67.732</v>
      </c>
      <c r="M18" s="136">
        <v>692.9120000000004</v>
      </c>
      <c r="P18" s="106"/>
      <c r="Q18" s="106"/>
      <c r="R18" s="106"/>
      <c r="S18" s="24"/>
      <c r="T18" s="24"/>
      <c r="U18" s="24"/>
      <c r="V18" s="24"/>
      <c r="W18" s="24"/>
      <c r="X18" s="24"/>
      <c r="Y18" s="24"/>
      <c r="Z18" s="24"/>
    </row>
    <row r="19" spans="2:26" ht="12.75">
      <c r="B19" s="137">
        <v>2005</v>
      </c>
      <c r="C19" s="138">
        <v>5610.925</v>
      </c>
      <c r="D19" s="139">
        <v>2989.203</v>
      </c>
      <c r="E19" s="140">
        <v>2621.022</v>
      </c>
      <c r="F19" s="149">
        <v>0.7</v>
      </c>
      <c r="G19" s="139">
        <v>4798.663</v>
      </c>
      <c r="H19" s="147">
        <v>2918.773</v>
      </c>
      <c r="I19" s="140">
        <v>1879.19</v>
      </c>
      <c r="J19" s="149">
        <v>0.7</v>
      </c>
      <c r="K19" s="139">
        <v>812.2620000000004</v>
      </c>
      <c r="L19" s="149">
        <v>70.43</v>
      </c>
      <c r="M19" s="143">
        <v>741.8320000000003</v>
      </c>
      <c r="O19" s="95"/>
      <c r="P19" s="106"/>
      <c r="Q19" s="106"/>
      <c r="R19" s="106"/>
      <c r="S19" s="24"/>
      <c r="T19" s="24"/>
      <c r="U19" s="24"/>
      <c r="V19" s="24"/>
      <c r="W19" s="24"/>
      <c r="X19" s="24"/>
      <c r="Y19" s="24"/>
      <c r="Z19" s="24"/>
    </row>
    <row r="20" spans="2:26" ht="12.75">
      <c r="B20" s="129">
        <v>2006</v>
      </c>
      <c r="C20" s="130">
        <v>5873.4</v>
      </c>
      <c r="D20" s="131">
        <v>2995.974</v>
      </c>
      <c r="E20" s="132">
        <v>2876.7260000000006</v>
      </c>
      <c r="F20" s="146">
        <v>0.7</v>
      </c>
      <c r="G20" s="131">
        <v>5064.362</v>
      </c>
      <c r="H20" s="144">
        <v>2926.618</v>
      </c>
      <c r="I20" s="132">
        <v>2137.0440000000003</v>
      </c>
      <c r="J20" s="146">
        <v>0.7</v>
      </c>
      <c r="K20" s="131">
        <v>809.038</v>
      </c>
      <c r="L20" s="146">
        <v>69.356</v>
      </c>
      <c r="M20" s="136">
        <v>739.682</v>
      </c>
      <c r="P20" s="106"/>
      <c r="Q20" s="106"/>
      <c r="R20" s="106"/>
      <c r="S20" s="24"/>
      <c r="T20" s="24"/>
      <c r="U20" s="24"/>
      <c r="V20" s="24"/>
      <c r="W20" s="24"/>
      <c r="X20" s="24"/>
      <c r="Y20" s="24"/>
      <c r="Z20" s="24"/>
    </row>
    <row r="21" spans="2:26" ht="12.75">
      <c r="B21" s="137">
        <v>2007</v>
      </c>
      <c r="C21" s="138">
        <v>6352.013999999998</v>
      </c>
      <c r="D21" s="139">
        <v>3013.297999999998</v>
      </c>
      <c r="E21" s="140">
        <v>3338.0160000000005</v>
      </c>
      <c r="F21" s="149">
        <v>0.7</v>
      </c>
      <c r="G21" s="139">
        <v>5532.854999999999</v>
      </c>
      <c r="H21" s="147">
        <v>2939.586999999998</v>
      </c>
      <c r="I21" s="140">
        <v>2592.5680000000007</v>
      </c>
      <c r="J21" s="149">
        <v>0.7</v>
      </c>
      <c r="K21" s="139">
        <v>819.1590000000001</v>
      </c>
      <c r="L21" s="149">
        <v>73.71099999999998</v>
      </c>
      <c r="M21" s="143">
        <v>745.4480000000001</v>
      </c>
      <c r="P21" s="106"/>
      <c r="Q21" s="106"/>
      <c r="R21" s="106"/>
      <c r="S21" s="24"/>
      <c r="T21" s="24"/>
      <c r="U21" s="24"/>
      <c r="V21" s="24"/>
      <c r="W21" s="24"/>
      <c r="X21" s="24"/>
      <c r="Y21" s="24"/>
      <c r="Z21" s="24"/>
    </row>
    <row r="22" spans="2:26" ht="12.75">
      <c r="B22" s="129">
        <v>2008</v>
      </c>
      <c r="C22" s="130">
        <v>6348.944</v>
      </c>
      <c r="D22" s="131">
        <v>3027.9020000000005</v>
      </c>
      <c r="E22" s="132">
        <v>3320.3419999999996</v>
      </c>
      <c r="F22" s="146">
        <v>0.7</v>
      </c>
      <c r="G22" s="131">
        <v>5444.215999999999</v>
      </c>
      <c r="H22" s="144">
        <v>2953.1210000000005</v>
      </c>
      <c r="I22" s="132">
        <v>2490.395</v>
      </c>
      <c r="J22" s="146">
        <v>0.7</v>
      </c>
      <c r="K22" s="131">
        <v>904.728</v>
      </c>
      <c r="L22" s="146">
        <v>74.78099999999998</v>
      </c>
      <c r="M22" s="136">
        <v>829.947</v>
      </c>
      <c r="P22" s="106"/>
      <c r="Q22" s="106"/>
      <c r="R22" s="106"/>
      <c r="S22" s="24"/>
      <c r="T22" s="24"/>
      <c r="U22" s="24"/>
      <c r="V22" s="24"/>
      <c r="W22" s="24"/>
      <c r="X22" s="24"/>
      <c r="Y22" s="24"/>
      <c r="Z22" s="24"/>
    </row>
    <row r="23" spans="2:26" ht="12.75">
      <c r="B23" s="137">
        <v>2009</v>
      </c>
      <c r="C23" s="138">
        <v>7256.347</v>
      </c>
      <c r="D23" s="139">
        <v>3115.768</v>
      </c>
      <c r="E23" s="140">
        <v>4139.879</v>
      </c>
      <c r="F23" s="149">
        <v>0.7</v>
      </c>
      <c r="G23" s="139">
        <v>6246.409000000001</v>
      </c>
      <c r="H23" s="147">
        <v>3037.1620000000003</v>
      </c>
      <c r="I23" s="140">
        <v>3208.547</v>
      </c>
      <c r="J23" s="149">
        <v>0.7</v>
      </c>
      <c r="K23" s="139">
        <v>1009.9380000000001</v>
      </c>
      <c r="L23" s="149">
        <v>78.606</v>
      </c>
      <c r="M23" s="143">
        <v>931.3320000000001</v>
      </c>
      <c r="P23" s="106"/>
      <c r="Q23" s="106"/>
      <c r="R23" s="106"/>
      <c r="S23" s="24"/>
      <c r="T23" s="24"/>
      <c r="U23" s="24"/>
      <c r="V23" s="24"/>
      <c r="W23" s="24"/>
      <c r="X23" s="24"/>
      <c r="Y23" s="24"/>
      <c r="Z23" s="24"/>
    </row>
    <row r="24" spans="2:26" ht="12.75">
      <c r="B24" s="129">
        <v>2010</v>
      </c>
      <c r="C24" s="223">
        <v>8000.3870000000015</v>
      </c>
      <c r="D24" s="131">
        <v>3317.4450000000006</v>
      </c>
      <c r="E24" s="132">
        <v>4682.242000000001</v>
      </c>
      <c r="F24" s="224">
        <v>0.7</v>
      </c>
      <c r="G24" s="225">
        <v>6875.038000000001</v>
      </c>
      <c r="H24" s="226">
        <v>3237.361000000001</v>
      </c>
      <c r="I24" s="227">
        <v>3636.9770000000008</v>
      </c>
      <c r="J24" s="146">
        <v>0.7</v>
      </c>
      <c r="K24" s="225">
        <v>1125.3490000000004</v>
      </c>
      <c r="L24" s="224">
        <v>80.084</v>
      </c>
      <c r="M24" s="228">
        <v>1045.265</v>
      </c>
      <c r="P24" s="106"/>
      <c r="Q24" s="106"/>
      <c r="R24" s="106"/>
      <c r="S24" s="24"/>
      <c r="T24" s="24"/>
      <c r="U24" s="24"/>
      <c r="V24" s="24"/>
      <c r="W24" s="24"/>
      <c r="X24" s="24"/>
      <c r="Y24" s="24"/>
      <c r="Z24" s="24"/>
    </row>
    <row r="25" spans="2:26" ht="12.75">
      <c r="B25" s="137">
        <v>2011</v>
      </c>
      <c r="C25" s="138">
        <v>7873.598999999999</v>
      </c>
      <c r="D25" s="139">
        <v>3318.03</v>
      </c>
      <c r="E25" s="140">
        <v>4554.869000000001</v>
      </c>
      <c r="F25" s="149">
        <v>0.7</v>
      </c>
      <c r="G25" s="139">
        <v>6836.32</v>
      </c>
      <c r="H25" s="147">
        <v>3235.7339999999995</v>
      </c>
      <c r="I25" s="140">
        <v>3599.886</v>
      </c>
      <c r="J25" s="149">
        <v>0.7</v>
      </c>
      <c r="K25" s="139">
        <v>1037.2790000000007</v>
      </c>
      <c r="L25" s="149">
        <v>82.296</v>
      </c>
      <c r="M25" s="143">
        <v>954.9830000000006</v>
      </c>
      <c r="P25" s="106"/>
      <c r="Q25" s="106"/>
      <c r="R25" s="106"/>
      <c r="S25" s="24"/>
      <c r="T25" s="24"/>
      <c r="U25" s="24"/>
      <c r="V25" s="24"/>
      <c r="W25" s="24"/>
      <c r="X25" s="24"/>
      <c r="Y25" s="24"/>
      <c r="Z25" s="24"/>
    </row>
    <row r="26" spans="2:26" ht="13.5" thickBot="1">
      <c r="B26" s="129"/>
      <c r="C26" s="223"/>
      <c r="D26" s="131"/>
      <c r="E26" s="132"/>
      <c r="F26" s="224"/>
      <c r="G26" s="225"/>
      <c r="H26" s="226"/>
      <c r="I26" s="227"/>
      <c r="J26" s="146"/>
      <c r="K26" s="225"/>
      <c r="L26" s="224"/>
      <c r="M26" s="228"/>
      <c r="P26" s="106"/>
      <c r="Q26" s="106"/>
      <c r="R26" s="106"/>
      <c r="S26" s="24"/>
      <c r="T26" s="24"/>
      <c r="U26" s="1400"/>
      <c r="V26" s="1400"/>
      <c r="W26" s="1400"/>
      <c r="X26" s="1400"/>
      <c r="Y26" s="24"/>
      <c r="Z26" s="24"/>
    </row>
    <row r="27" spans="2:26" ht="12.75">
      <c r="B27" s="376" t="s">
        <v>167</v>
      </c>
      <c r="C27" s="1247">
        <v>-0.01584773336589873</v>
      </c>
      <c r="D27" s="1449">
        <v>0.0001763405271222318</v>
      </c>
      <c r="E27" s="1246">
        <v>-0.027203420925274835</v>
      </c>
      <c r="F27" s="151"/>
      <c r="G27" s="1450">
        <v>-0.005631677963089499</v>
      </c>
      <c r="H27" s="1451">
        <v>-0.0005025698400645817</v>
      </c>
      <c r="I27" s="1273">
        <v>-0.010198304800937974</v>
      </c>
      <c r="J27" s="151"/>
      <c r="K27" s="1272">
        <v>-0.07826016640171152</v>
      </c>
      <c r="L27" s="1246">
        <v>0.027620997952150228</v>
      </c>
      <c r="M27" s="1273">
        <v>-0.08637235533572796</v>
      </c>
      <c r="P27" s="106"/>
      <c r="Q27" s="106"/>
      <c r="R27" s="106"/>
      <c r="S27" s="24"/>
      <c r="T27" s="24"/>
      <c r="U27" s="1400"/>
      <c r="V27" s="1400"/>
      <c r="W27" s="1400"/>
      <c r="X27" s="1400"/>
      <c r="Y27" s="24"/>
      <c r="Z27" s="24"/>
    </row>
    <row r="28" spans="2:26" ht="12.75">
      <c r="B28" s="155" t="s">
        <v>171</v>
      </c>
      <c r="C28" s="1413">
        <v>0.060368316664222155</v>
      </c>
      <c r="D28" s="1414">
        <v>0.020630291388112676</v>
      </c>
      <c r="E28" s="1414">
        <v>0.096264822547655</v>
      </c>
      <c r="F28" s="154"/>
      <c r="G28" s="1415">
        <v>0.06184109288881379</v>
      </c>
      <c r="H28" s="1414">
        <v>0.020284654178109873</v>
      </c>
      <c r="I28" s="1416">
        <v>0.10992863727190105</v>
      </c>
      <c r="J28" s="152"/>
      <c r="K28" s="1415">
        <v>0.05095793359304368</v>
      </c>
      <c r="L28" s="1414">
        <v>0.03480599906293613</v>
      </c>
      <c r="M28" s="1416">
        <v>0.052422484607689945</v>
      </c>
      <c r="S28" s="24"/>
      <c r="T28" s="24"/>
      <c r="U28" s="24"/>
      <c r="V28" s="24"/>
      <c r="W28" s="24"/>
      <c r="X28" s="24"/>
      <c r="Y28" s="24"/>
      <c r="Z28" s="24"/>
    </row>
    <row r="29" spans="2:26" ht="12.75" customHeight="1">
      <c r="B29" s="153" t="s">
        <v>169</v>
      </c>
      <c r="C29" s="1341">
        <v>0.41742885401323426</v>
      </c>
      <c r="D29" s="1452">
        <v>0.2516640606285796</v>
      </c>
      <c r="E29" s="1452">
        <v>0.5688857077806915</v>
      </c>
      <c r="F29" s="154"/>
      <c r="G29" s="1437">
        <v>0.43140976583642754</v>
      </c>
      <c r="H29" s="1452">
        <v>0.2561449794326225</v>
      </c>
      <c r="I29" s="1453">
        <v>0.636824441836557</v>
      </c>
      <c r="J29" s="152"/>
      <c r="K29" s="1437">
        <v>0.3317041356457935</v>
      </c>
      <c r="L29" s="1452">
        <v>0.09770444571901149</v>
      </c>
      <c r="M29" s="1453">
        <v>0.35662556467880857</v>
      </c>
      <c r="S29" s="24"/>
      <c r="T29" s="24"/>
      <c r="U29" s="24"/>
      <c r="V29" s="1256"/>
      <c r="W29" s="1256"/>
      <c r="X29" s="1256"/>
      <c r="Y29" s="24"/>
      <c r="Z29" s="24"/>
    </row>
    <row r="30" spans="2:26" ht="13.5" thickBot="1">
      <c r="B30" s="792" t="s">
        <v>170</v>
      </c>
      <c r="C30" s="1454">
        <v>0.03222136208147042</v>
      </c>
      <c r="D30" s="1455">
        <v>0.02061636019755242</v>
      </c>
      <c r="E30" s="1455">
        <v>0.04179202339316035</v>
      </c>
      <c r="F30" s="152"/>
      <c r="G30" s="1456">
        <v>0.03314281905705152</v>
      </c>
      <c r="H30" s="1455">
        <v>0.020947982290446587</v>
      </c>
      <c r="I30" s="1457">
        <v>0.045814686777243985</v>
      </c>
      <c r="J30" s="152"/>
      <c r="K30" s="1456">
        <v>0.026383815623567175</v>
      </c>
      <c r="L30" s="1455">
        <v>0.008510659828036449</v>
      </c>
      <c r="M30" s="1457">
        <v>0.028115289810339616</v>
      </c>
      <c r="S30" s="24"/>
      <c r="T30" s="24"/>
      <c r="U30" s="1400"/>
      <c r="V30" s="434"/>
      <c r="W30" s="434"/>
      <c r="X30" s="1423"/>
      <c r="Y30" s="24"/>
      <c r="Z30" s="24"/>
    </row>
    <row r="31" spans="2:26" ht="12.75">
      <c r="B31" t="s">
        <v>178</v>
      </c>
      <c r="S31" s="24"/>
      <c r="T31" s="24"/>
      <c r="U31" s="1400"/>
      <c r="V31" s="434"/>
      <c r="W31" s="434"/>
      <c r="X31" s="1423"/>
      <c r="Y31" s="24"/>
      <c r="Z31" s="24"/>
    </row>
    <row r="32" spans="16:26" ht="12.75">
      <c r="P32" s="106"/>
      <c r="Q32" s="106"/>
      <c r="R32" s="106"/>
      <c r="S32" s="24"/>
      <c r="T32" s="24"/>
      <c r="U32" s="1400"/>
      <c r="V32" s="434"/>
      <c r="W32" s="434"/>
      <c r="X32" s="1423"/>
      <c r="Y32" s="24"/>
      <c r="Z32" s="24"/>
    </row>
    <row r="33" spans="16:26" ht="12.75">
      <c r="P33" s="106"/>
      <c r="Q33" s="106"/>
      <c r="R33" s="106"/>
      <c r="S33" s="24"/>
      <c r="T33" s="24"/>
      <c r="U33" s="24"/>
      <c r="V33" s="24"/>
      <c r="W33" s="24"/>
      <c r="X33" s="24"/>
      <c r="Y33" s="24"/>
      <c r="Z33" s="24"/>
    </row>
    <row r="34" spans="16:26" ht="12.75">
      <c r="P34" s="106"/>
      <c r="Q34" s="106"/>
      <c r="R34" s="106"/>
      <c r="S34" s="24"/>
      <c r="T34" s="24"/>
      <c r="U34" s="24"/>
      <c r="V34" s="24"/>
      <c r="W34" s="24"/>
      <c r="X34" s="24"/>
      <c r="Y34" s="24"/>
      <c r="Z34" s="24"/>
    </row>
    <row r="35" spans="16:26" ht="12.75">
      <c r="P35" s="106"/>
      <c r="Q35" s="106"/>
      <c r="R35" s="106"/>
      <c r="S35" s="24"/>
      <c r="T35" s="24"/>
      <c r="U35" s="24"/>
      <c r="V35" s="24"/>
      <c r="W35" s="24"/>
      <c r="X35" s="24"/>
      <c r="Y35" s="24"/>
      <c r="Z35" s="24"/>
    </row>
    <row r="36" spans="16:26" ht="12.75">
      <c r="P36" s="106"/>
      <c r="Q36" s="106"/>
      <c r="R36" s="106"/>
      <c r="S36" s="24"/>
      <c r="T36" s="24"/>
      <c r="U36" s="24"/>
      <c r="V36" s="24"/>
      <c r="W36" s="24"/>
      <c r="X36" s="24"/>
      <c r="Y36" s="24"/>
      <c r="Z36" s="24"/>
    </row>
    <row r="37" spans="16:26" ht="12.75">
      <c r="P37" s="106"/>
      <c r="Q37" s="106"/>
      <c r="R37" s="106"/>
      <c r="S37" s="24"/>
      <c r="T37" s="24"/>
      <c r="U37" s="24"/>
      <c r="V37" s="24"/>
      <c r="W37" s="24"/>
      <c r="X37" s="24"/>
      <c r="Y37" s="24"/>
      <c r="Z37" s="24"/>
    </row>
    <row r="38" spans="16:18" ht="12.75">
      <c r="P38" s="106"/>
      <c r="Q38" s="106"/>
      <c r="R38" s="106"/>
    </row>
    <row r="39" spans="15:18" ht="12.75">
      <c r="O39" s="95"/>
      <c r="P39" s="106"/>
      <c r="Q39" s="106"/>
      <c r="R39" s="106"/>
    </row>
    <row r="40" spans="16:18" ht="12.75">
      <c r="P40" s="106"/>
      <c r="Q40" s="106"/>
      <c r="R40" s="106"/>
    </row>
    <row r="41" spans="16:18" ht="12.75">
      <c r="P41" s="106"/>
      <c r="Q41" s="106"/>
      <c r="R41" s="106"/>
    </row>
    <row r="42" spans="16:18" ht="12.75">
      <c r="P42" s="106"/>
      <c r="Q42" s="106"/>
      <c r="R42" s="106"/>
    </row>
    <row r="43" spans="16:18" ht="12.75">
      <c r="P43" s="106"/>
      <c r="Q43" s="106"/>
      <c r="R43" s="106"/>
    </row>
    <row r="44" spans="15:18" ht="12.75">
      <c r="O44" s="95"/>
      <c r="P44" s="106"/>
      <c r="Q44" s="106"/>
      <c r="R44" s="106"/>
    </row>
    <row r="45" spans="16:18" ht="12.75">
      <c r="P45" s="106"/>
      <c r="Q45" s="106"/>
      <c r="R45" s="106"/>
    </row>
    <row r="46" spans="16:18" ht="12.75">
      <c r="P46" s="106"/>
      <c r="Q46" s="106"/>
      <c r="R46" s="106"/>
    </row>
    <row r="52" spans="16:18" ht="12.75">
      <c r="P52" s="106"/>
      <c r="Q52" s="106"/>
      <c r="R52" s="106"/>
    </row>
    <row r="53" spans="16:18" ht="12.75">
      <c r="P53" s="106"/>
      <c r="Q53" s="106"/>
      <c r="R53" s="106"/>
    </row>
    <row r="54" spans="16:18" ht="12.75">
      <c r="P54" s="106"/>
      <c r="Q54" s="106"/>
      <c r="R54" s="106"/>
    </row>
    <row r="55" spans="16:18" ht="12.75">
      <c r="P55" s="106"/>
      <c r="Q55" s="106"/>
      <c r="R55" s="106"/>
    </row>
    <row r="56" spans="16:18" ht="12.75">
      <c r="P56" s="106"/>
      <c r="Q56" s="106"/>
      <c r="R56" s="106"/>
    </row>
    <row r="57" spans="16:18" ht="12.75">
      <c r="P57" s="106"/>
      <c r="Q57" s="106"/>
      <c r="R57" s="106"/>
    </row>
    <row r="58" spans="16:18" ht="12.75">
      <c r="P58" s="106"/>
      <c r="Q58" s="106"/>
      <c r="R58" s="106"/>
    </row>
    <row r="59" spans="15:18" ht="12.75">
      <c r="O59" s="95"/>
      <c r="P59" s="106"/>
      <c r="Q59" s="106"/>
      <c r="R59" s="106"/>
    </row>
    <row r="60" spans="16:18" ht="12.75">
      <c r="P60" s="106"/>
      <c r="Q60" s="106"/>
      <c r="R60" s="106"/>
    </row>
    <row r="61" spans="16:18" ht="12.75">
      <c r="P61" s="106"/>
      <c r="Q61" s="106"/>
      <c r="R61" s="106"/>
    </row>
    <row r="62" spans="16:18" ht="12.75">
      <c r="P62" s="106"/>
      <c r="Q62" s="106"/>
      <c r="R62" s="106"/>
    </row>
    <row r="63" spans="16:18" ht="12.75">
      <c r="P63" s="106"/>
      <c r="Q63" s="106"/>
      <c r="R63" s="106"/>
    </row>
    <row r="64" spans="15:18" ht="12.75">
      <c r="O64" s="95"/>
      <c r="P64" s="106"/>
      <c r="Q64" s="106"/>
      <c r="R64" s="106"/>
    </row>
    <row r="65" spans="16:18" ht="12.75">
      <c r="P65" s="106"/>
      <c r="Q65" s="106"/>
      <c r="R65" s="106"/>
    </row>
    <row r="66" spans="16:18" ht="12.75">
      <c r="P66" s="106"/>
      <c r="Q66" s="106"/>
      <c r="R66" s="106"/>
    </row>
    <row r="67" ht="12.75">
      <c r="O67" s="95"/>
    </row>
  </sheetData>
  <sheetProtection password="B728" sheet="1"/>
  <mergeCells count="1">
    <mergeCell ref="B1:M1"/>
  </mergeCells>
  <printOptions horizontalCentered="1" verticalCentered="1"/>
  <pageMargins left="1.1023622047244095" right="0.3937007874015748" top="1.2" bottom="1.1023622047244095" header="0" footer="0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T78"/>
  <sheetViews>
    <sheetView view="pageBreakPreview" zoomScaleNormal="85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5.7109375" style="0" customWidth="1"/>
    <col min="4" max="4" width="15.8515625" style="0" customWidth="1"/>
    <col min="5" max="5" width="15.7109375" style="0" customWidth="1"/>
    <col min="6" max="6" width="15.8515625" style="0" customWidth="1"/>
    <col min="7" max="7" width="12.7109375" style="0" customWidth="1"/>
    <col min="8" max="8" width="12.8515625" style="0" customWidth="1"/>
    <col min="9" max="9" width="12.7109375" style="0" customWidth="1"/>
    <col min="10" max="10" width="13.57421875" style="0" customWidth="1"/>
    <col min="13" max="13" width="10.7109375" style="0" customWidth="1"/>
    <col min="14" max="14" width="3.57421875" style="0" customWidth="1"/>
    <col min="15" max="15" width="26.28125" style="0" customWidth="1"/>
    <col min="16" max="16" width="13.8515625" style="0" customWidth="1"/>
  </cols>
  <sheetData>
    <row r="1" ht="20.25">
      <c r="B1" s="102"/>
    </row>
    <row r="3" ht="15.75">
      <c r="B3" s="88" t="s">
        <v>82</v>
      </c>
    </row>
    <row r="4" ht="12.75">
      <c r="B4" s="34"/>
    </row>
    <row r="5" ht="13.5" thickBot="1"/>
    <row r="6" spans="2:13" ht="12.75">
      <c r="B6" s="229" t="s">
        <v>47</v>
      </c>
      <c r="C6" s="230" t="s">
        <v>64</v>
      </c>
      <c r="D6" s="1591" t="s">
        <v>74</v>
      </c>
      <c r="E6" s="1592"/>
      <c r="F6" s="1593"/>
      <c r="G6" s="1594" t="s">
        <v>81</v>
      </c>
      <c r="H6" s="1594"/>
      <c r="I6" s="1594"/>
      <c r="J6" s="1594" t="s">
        <v>80</v>
      </c>
      <c r="K6" s="1594"/>
      <c r="L6" s="1594"/>
      <c r="M6" s="1595"/>
    </row>
    <row r="7" spans="2:20" ht="13.5" thickBot="1">
      <c r="B7" s="231"/>
      <c r="C7" s="161"/>
      <c r="D7" s="210" t="s">
        <v>68</v>
      </c>
      <c r="E7" s="211" t="s">
        <v>69</v>
      </c>
      <c r="F7" s="210" t="s">
        <v>70</v>
      </c>
      <c r="G7" s="210" t="s">
        <v>68</v>
      </c>
      <c r="H7" s="210" t="s">
        <v>69</v>
      </c>
      <c r="I7" s="210" t="s">
        <v>70</v>
      </c>
      <c r="J7" s="210" t="s">
        <v>68</v>
      </c>
      <c r="K7" s="210" t="s">
        <v>69</v>
      </c>
      <c r="L7" s="210" t="s">
        <v>70</v>
      </c>
      <c r="M7" s="232" t="s">
        <v>71</v>
      </c>
      <c r="O7" s="24"/>
      <c r="P7" s="24"/>
      <c r="Q7" s="24"/>
      <c r="R7" s="24"/>
      <c r="S7" s="24"/>
      <c r="T7" s="24"/>
    </row>
    <row r="8" spans="2:20" ht="12.75">
      <c r="B8" s="233"/>
      <c r="C8" s="234"/>
      <c r="D8" s="169"/>
      <c r="E8" s="168"/>
      <c r="F8" s="212"/>
      <c r="G8" s="234"/>
      <c r="H8" s="168"/>
      <c r="I8" s="168"/>
      <c r="J8" s="165"/>
      <c r="K8" s="168"/>
      <c r="L8" s="169"/>
      <c r="M8" s="170"/>
      <c r="O8" s="24"/>
      <c r="P8" s="24"/>
      <c r="Q8" s="24"/>
      <c r="R8" s="24"/>
      <c r="S8" s="24"/>
      <c r="T8" s="24"/>
    </row>
    <row r="9" spans="2:20" ht="15.75">
      <c r="B9" s="824">
        <v>1995</v>
      </c>
      <c r="C9" s="236">
        <f aca="true" t="shared" si="0" ref="C9:C14">+D9+G9+J9</f>
        <v>3195.392</v>
      </c>
      <c r="D9" s="179">
        <f aca="true" t="shared" si="1" ref="D9:D14">SUM(E9:F9)</f>
        <v>2458.1259999999997</v>
      </c>
      <c r="E9" s="182">
        <v>1848.485</v>
      </c>
      <c r="F9" s="213">
        <v>609.641</v>
      </c>
      <c r="G9" s="237">
        <f aca="true" t="shared" si="2" ref="G9:G14">SUM(H9:I9)</f>
        <v>402.99</v>
      </c>
      <c r="H9" s="180">
        <v>312.27</v>
      </c>
      <c r="I9" s="140">
        <v>90.72</v>
      </c>
      <c r="J9" s="181">
        <f aca="true" t="shared" si="3" ref="J9:J14">SUM(K9:M9)</f>
        <v>334.27599999999995</v>
      </c>
      <c r="K9" s="182">
        <v>45.16</v>
      </c>
      <c r="L9" s="147">
        <v>289.116</v>
      </c>
      <c r="M9" s="238"/>
      <c r="N9" s="13"/>
      <c r="O9" s="239"/>
      <c r="P9" s="24"/>
      <c r="Q9" s="24"/>
      <c r="R9" s="24"/>
      <c r="S9" s="24"/>
      <c r="T9" s="24"/>
    </row>
    <row r="10" spans="2:20" ht="12.75">
      <c r="B10" s="825">
        <v>1996</v>
      </c>
      <c r="C10" s="241">
        <f t="shared" si="0"/>
        <v>2879.501</v>
      </c>
      <c r="D10" s="172">
        <f t="shared" si="1"/>
        <v>2212.677</v>
      </c>
      <c r="E10" s="134">
        <v>1588.172</v>
      </c>
      <c r="F10" s="217">
        <f>624.505</f>
        <v>624.505</v>
      </c>
      <c r="G10" s="242">
        <f t="shared" si="2"/>
        <v>405.86799999999994</v>
      </c>
      <c r="H10" s="173">
        <f>309.268</f>
        <v>309.268</v>
      </c>
      <c r="I10" s="132">
        <f>96.6</f>
        <v>96.6</v>
      </c>
      <c r="J10" s="174">
        <f t="shared" si="3"/>
        <v>260.956</v>
      </c>
      <c r="K10" s="134">
        <v>27.411</v>
      </c>
      <c r="L10" s="144">
        <v>233.295</v>
      </c>
      <c r="M10" s="175">
        <v>0.25</v>
      </c>
      <c r="N10" s="13"/>
      <c r="O10" s="247"/>
      <c r="P10" s="247"/>
      <c r="Q10" s="247"/>
      <c r="R10" s="247"/>
      <c r="S10" s="247"/>
      <c r="T10" s="247"/>
    </row>
    <row r="11" spans="2:20" ht="12.75">
      <c r="B11" s="824">
        <v>1997</v>
      </c>
      <c r="C11" s="236">
        <f t="shared" si="0"/>
        <v>3826.8329999999996</v>
      </c>
      <c r="D11" s="179">
        <f t="shared" si="1"/>
        <v>2888.4399999999996</v>
      </c>
      <c r="E11" s="182">
        <v>1760.1</v>
      </c>
      <c r="F11" s="213">
        <v>1128.34</v>
      </c>
      <c r="G11" s="237">
        <f t="shared" si="2"/>
        <v>629.4300000000001</v>
      </c>
      <c r="H11" s="180">
        <v>306.42</v>
      </c>
      <c r="I11" s="140">
        <v>323.01</v>
      </c>
      <c r="J11" s="181">
        <f t="shared" si="3"/>
        <v>308.96299999999997</v>
      </c>
      <c r="K11" s="182">
        <v>53.651</v>
      </c>
      <c r="L11" s="147">
        <v>255.06199999999998</v>
      </c>
      <c r="M11" s="238">
        <v>0.25</v>
      </c>
      <c r="N11" s="13"/>
      <c r="O11" s="247"/>
      <c r="P11" s="247"/>
      <c r="Q11" s="1434"/>
      <c r="R11" s="1434"/>
      <c r="S11" s="1434"/>
      <c r="T11" s="247"/>
    </row>
    <row r="12" spans="2:20" ht="12.75">
      <c r="B12" s="825">
        <v>1998</v>
      </c>
      <c r="C12" s="241">
        <f t="shared" si="0"/>
        <v>4020.8009999999995</v>
      </c>
      <c r="D12" s="172">
        <f t="shared" si="1"/>
        <v>3090.345</v>
      </c>
      <c r="E12" s="134">
        <v>1758.812</v>
      </c>
      <c r="F12" s="217">
        <v>1331.533</v>
      </c>
      <c r="G12" s="242">
        <f t="shared" si="2"/>
        <v>596.01</v>
      </c>
      <c r="H12" s="173">
        <v>199.51</v>
      </c>
      <c r="I12" s="132">
        <v>396.5</v>
      </c>
      <c r="J12" s="174">
        <f t="shared" si="3"/>
        <v>334.44599999999997</v>
      </c>
      <c r="K12" s="134">
        <v>64.58</v>
      </c>
      <c r="L12" s="144">
        <v>269.616</v>
      </c>
      <c r="M12" s="175">
        <v>0.25</v>
      </c>
      <c r="N12" s="13"/>
      <c r="O12" s="247"/>
      <c r="P12" s="247"/>
      <c r="Q12" s="248"/>
      <c r="R12" s="248"/>
      <c r="S12" s="249"/>
      <c r="T12" s="248"/>
    </row>
    <row r="13" spans="2:20" ht="12.75">
      <c r="B13" s="824">
        <v>1999</v>
      </c>
      <c r="C13" s="236">
        <f t="shared" si="0"/>
        <v>4317.929</v>
      </c>
      <c r="D13" s="179">
        <f t="shared" si="1"/>
        <v>3317.0060000000003</v>
      </c>
      <c r="E13" s="182">
        <v>1923.5890000000002</v>
      </c>
      <c r="F13" s="213">
        <v>1393.417</v>
      </c>
      <c r="G13" s="237">
        <f t="shared" si="2"/>
        <v>712.758</v>
      </c>
      <c r="H13" s="180">
        <v>249.51</v>
      </c>
      <c r="I13" s="140">
        <v>463.24800000000005</v>
      </c>
      <c r="J13" s="181">
        <f t="shared" si="3"/>
        <v>288.165</v>
      </c>
      <c r="K13" s="182">
        <v>69.52600000000001</v>
      </c>
      <c r="L13" s="147">
        <v>217.939</v>
      </c>
      <c r="M13" s="238">
        <v>0.7</v>
      </c>
      <c r="N13" s="13"/>
      <c r="O13" s="247"/>
      <c r="P13" s="247"/>
      <c r="Q13" s="248"/>
      <c r="R13" s="248"/>
      <c r="S13" s="249"/>
      <c r="T13" s="248"/>
    </row>
    <row r="14" spans="2:20" ht="12.75">
      <c r="B14" s="825">
        <v>2000</v>
      </c>
      <c r="C14" s="241">
        <f t="shared" si="0"/>
        <v>4775.935</v>
      </c>
      <c r="D14" s="172">
        <f t="shared" si="1"/>
        <v>3595.0750000000007</v>
      </c>
      <c r="E14" s="134">
        <v>2189.9130000000005</v>
      </c>
      <c r="F14" s="217">
        <v>1405.162</v>
      </c>
      <c r="G14" s="242">
        <f t="shared" si="2"/>
        <v>906.312</v>
      </c>
      <c r="H14" s="173">
        <v>315.241</v>
      </c>
      <c r="I14" s="132">
        <v>591.071</v>
      </c>
      <c r="J14" s="174">
        <f t="shared" si="3"/>
        <v>274.54799999999994</v>
      </c>
      <c r="K14" s="134">
        <v>70.77</v>
      </c>
      <c r="L14" s="144">
        <v>203.07799999999997</v>
      </c>
      <c r="M14" s="175">
        <v>0.7</v>
      </c>
      <c r="N14" s="13"/>
      <c r="O14" s="247"/>
      <c r="P14" s="247"/>
      <c r="Q14" s="248"/>
      <c r="R14" s="248"/>
      <c r="S14" s="249"/>
      <c r="T14" s="248"/>
    </row>
    <row r="15" spans="2:20" ht="12.75">
      <c r="B15" s="825"/>
      <c r="C15" s="243"/>
      <c r="D15" s="186"/>
      <c r="E15" s="187"/>
      <c r="F15" s="244"/>
      <c r="G15" s="245"/>
      <c r="H15" s="187"/>
      <c r="I15" s="187"/>
      <c r="J15" s="189"/>
      <c r="K15" s="187"/>
      <c r="L15" s="190"/>
      <c r="M15" s="191"/>
      <c r="O15" s="247"/>
      <c r="P15" s="247"/>
      <c r="Q15" s="248"/>
      <c r="R15" s="248"/>
      <c r="S15" s="249"/>
      <c r="T15" s="248"/>
    </row>
    <row r="16" spans="2:20" ht="12.75">
      <c r="B16" s="825"/>
      <c r="C16" s="243"/>
      <c r="D16" s="1580" t="s">
        <v>72</v>
      </c>
      <c r="E16" s="1581"/>
      <c r="F16" s="1590"/>
      <c r="G16" s="245"/>
      <c r="H16" s="187"/>
      <c r="I16" s="187"/>
      <c r="J16" s="189"/>
      <c r="K16" s="187"/>
      <c r="L16" s="190"/>
      <c r="M16" s="191"/>
      <c r="O16" s="247"/>
      <c r="P16" s="247"/>
      <c r="Q16" s="248"/>
      <c r="R16" s="248"/>
      <c r="S16" s="249"/>
      <c r="T16" s="248"/>
    </row>
    <row r="17" spans="2:20" ht="12.75">
      <c r="B17" s="825">
        <v>2001</v>
      </c>
      <c r="C17" s="241">
        <f aca="true" t="shared" si="4" ref="C17:C23">+D17+J17</f>
        <v>4642.063999999999</v>
      </c>
      <c r="D17" s="172">
        <f aca="true" t="shared" si="5" ref="D17:D23">SUM(E17:F17)</f>
        <v>4418.846</v>
      </c>
      <c r="E17" s="192">
        <v>2610.5159999999996</v>
      </c>
      <c r="F17" s="246">
        <v>1808.33</v>
      </c>
      <c r="G17" s="242"/>
      <c r="H17" s="192"/>
      <c r="I17" s="192"/>
      <c r="J17" s="174">
        <f aca="true" t="shared" si="6" ref="J17:J23">SUM(K17:M17)</f>
        <v>223.21799999999993</v>
      </c>
      <c r="K17" s="192">
        <v>64.31899999999999</v>
      </c>
      <c r="L17" s="194">
        <v>158.19899999999996</v>
      </c>
      <c r="M17" s="175">
        <v>0.7</v>
      </c>
      <c r="N17" s="13"/>
      <c r="O17" s="247"/>
      <c r="P17" s="247"/>
      <c r="Q17" s="248"/>
      <c r="R17" s="248"/>
      <c r="S17" s="249"/>
      <c r="T17" s="248"/>
    </row>
    <row r="18" spans="2:20" ht="12.75">
      <c r="B18" s="824">
        <v>2002</v>
      </c>
      <c r="C18" s="236">
        <f t="shared" si="4"/>
        <v>4657.826999999999</v>
      </c>
      <c r="D18" s="179">
        <f t="shared" si="5"/>
        <v>4491.7919999999995</v>
      </c>
      <c r="E18" s="195">
        <v>2642.558</v>
      </c>
      <c r="F18" s="222">
        <v>1849.234</v>
      </c>
      <c r="G18" s="237"/>
      <c r="H18" s="195"/>
      <c r="I18" s="195"/>
      <c r="J18" s="181">
        <f t="shared" si="6"/>
        <v>166.035</v>
      </c>
      <c r="K18" s="195">
        <v>60.305</v>
      </c>
      <c r="L18" s="196">
        <v>105.03</v>
      </c>
      <c r="M18" s="238">
        <v>0.7</v>
      </c>
      <c r="N18" s="13"/>
      <c r="O18" s="247"/>
      <c r="P18" s="247"/>
      <c r="Q18" s="248"/>
      <c r="R18" s="248"/>
      <c r="S18" s="249"/>
      <c r="T18" s="248"/>
    </row>
    <row r="19" spans="2:20" ht="12.75">
      <c r="B19" s="825">
        <v>2003</v>
      </c>
      <c r="C19" s="241">
        <f t="shared" si="4"/>
        <v>4686.394000000001</v>
      </c>
      <c r="D19" s="172">
        <f t="shared" si="5"/>
        <v>4517.718000000001</v>
      </c>
      <c r="E19" s="192">
        <v>2659.2490000000003</v>
      </c>
      <c r="F19" s="221">
        <v>1858.469</v>
      </c>
      <c r="G19" s="242"/>
      <c r="H19" s="192"/>
      <c r="I19" s="192"/>
      <c r="J19" s="174">
        <f t="shared" si="6"/>
        <v>168.67599999999996</v>
      </c>
      <c r="K19" s="192">
        <v>60.98</v>
      </c>
      <c r="L19" s="194">
        <v>106.99599999999997</v>
      </c>
      <c r="M19" s="175">
        <v>0.7</v>
      </c>
      <c r="N19" s="13"/>
      <c r="O19" s="247"/>
      <c r="P19" s="247"/>
      <c r="Q19" s="248"/>
      <c r="R19" s="248"/>
      <c r="S19" s="249"/>
      <c r="T19" s="248"/>
    </row>
    <row r="20" spans="2:20" ht="12.75">
      <c r="B20" s="824">
        <v>2004</v>
      </c>
      <c r="C20" s="236">
        <f t="shared" si="4"/>
        <v>4657.315070000001</v>
      </c>
      <c r="D20" s="179">
        <f t="shared" si="5"/>
        <v>4493.808070000001</v>
      </c>
      <c r="E20" s="195">
        <v>2683.113070000001</v>
      </c>
      <c r="F20" s="222">
        <v>1810.695</v>
      </c>
      <c r="G20" s="237"/>
      <c r="H20" s="195"/>
      <c r="I20" s="195"/>
      <c r="J20" s="181">
        <f t="shared" si="6"/>
        <v>163.50700000000006</v>
      </c>
      <c r="K20" s="195">
        <v>64.159</v>
      </c>
      <c r="L20" s="196">
        <v>98.64800000000005</v>
      </c>
      <c r="M20" s="238">
        <v>0.7</v>
      </c>
      <c r="N20" s="13"/>
      <c r="O20" s="247"/>
      <c r="P20" s="247"/>
      <c r="Q20" s="248"/>
      <c r="R20" s="248"/>
      <c r="S20" s="249"/>
      <c r="T20" s="248"/>
    </row>
    <row r="21" spans="2:20" ht="12.75">
      <c r="B21" s="825">
        <v>2005</v>
      </c>
      <c r="C21" s="241">
        <f t="shared" si="4"/>
        <v>4798.663</v>
      </c>
      <c r="D21" s="172">
        <f t="shared" si="5"/>
        <v>4619.758</v>
      </c>
      <c r="E21" s="192">
        <v>2849.114</v>
      </c>
      <c r="F21" s="221">
        <v>1770.6439999999998</v>
      </c>
      <c r="G21" s="242"/>
      <c r="H21" s="192"/>
      <c r="I21" s="192"/>
      <c r="J21" s="174">
        <f t="shared" si="6"/>
        <v>178.90499999999992</v>
      </c>
      <c r="K21" s="192">
        <v>69.65899999999996</v>
      </c>
      <c r="L21" s="194">
        <v>108.54599999999998</v>
      </c>
      <c r="M21" s="175">
        <v>0.7</v>
      </c>
      <c r="N21" s="13"/>
      <c r="O21" s="247"/>
      <c r="P21" s="247"/>
      <c r="Q21" s="248"/>
      <c r="R21" s="248"/>
      <c r="S21" s="249"/>
      <c r="T21" s="248"/>
    </row>
    <row r="22" spans="2:20" ht="12.75">
      <c r="B22" s="824">
        <v>2006</v>
      </c>
      <c r="C22" s="236">
        <f>+D22+J22</f>
        <v>5064.362</v>
      </c>
      <c r="D22" s="179">
        <f>SUM(E22:F22)</f>
        <v>4891.562</v>
      </c>
      <c r="E22" s="195">
        <v>2859.1</v>
      </c>
      <c r="F22" s="222">
        <v>2032.4620000000002</v>
      </c>
      <c r="G22" s="237"/>
      <c r="H22" s="195"/>
      <c r="I22" s="195"/>
      <c r="J22" s="181">
        <f>SUM(K22:M22)</f>
        <v>172.8</v>
      </c>
      <c r="K22" s="195">
        <v>67.518</v>
      </c>
      <c r="L22" s="196">
        <v>104.58200000000002</v>
      </c>
      <c r="M22" s="238">
        <v>0.7</v>
      </c>
      <c r="N22" s="13"/>
      <c r="O22" s="247"/>
      <c r="P22" s="247"/>
      <c r="Q22" s="248"/>
      <c r="R22" s="248"/>
      <c r="S22" s="249"/>
      <c r="T22" s="248"/>
    </row>
    <row r="23" spans="2:20" ht="12.75">
      <c r="B23" s="825">
        <v>2007</v>
      </c>
      <c r="C23" s="241">
        <f t="shared" si="4"/>
        <v>5532.854999999999</v>
      </c>
      <c r="D23" s="172">
        <f t="shared" si="5"/>
        <v>5363.393999999998</v>
      </c>
      <c r="E23" s="192">
        <v>2874.704999999998</v>
      </c>
      <c r="F23" s="221">
        <v>2488.6890000000008</v>
      </c>
      <c r="G23" s="242"/>
      <c r="H23" s="192"/>
      <c r="I23" s="192"/>
      <c r="J23" s="174">
        <f t="shared" si="6"/>
        <v>169.46100000000004</v>
      </c>
      <c r="K23" s="192">
        <v>64.882</v>
      </c>
      <c r="L23" s="194">
        <v>103.87900000000005</v>
      </c>
      <c r="M23" s="175">
        <v>0.7</v>
      </c>
      <c r="N23" s="13"/>
      <c r="O23" s="247"/>
      <c r="P23" s="247"/>
      <c r="Q23" s="248"/>
      <c r="R23" s="248"/>
      <c r="S23" s="249"/>
      <c r="T23" s="248"/>
    </row>
    <row r="24" spans="2:20" ht="12.75">
      <c r="B24" s="824">
        <v>2008</v>
      </c>
      <c r="C24" s="236">
        <f>+D24+J24</f>
        <v>5444.216</v>
      </c>
      <c r="D24" s="179">
        <f>SUM(E24:F24)</f>
        <v>5248.700000000001</v>
      </c>
      <c r="E24" s="195">
        <v>2889.0490000000004</v>
      </c>
      <c r="F24" s="222">
        <v>2359.651</v>
      </c>
      <c r="G24" s="237"/>
      <c r="H24" s="195"/>
      <c r="I24" s="195"/>
      <c r="J24" s="181">
        <f>SUM(K24:M24)</f>
        <v>195.5159999999999</v>
      </c>
      <c r="K24" s="195">
        <v>64.07199999999999</v>
      </c>
      <c r="L24" s="196">
        <v>130.74399999999991</v>
      </c>
      <c r="M24" s="238">
        <v>0.7</v>
      </c>
      <c r="N24" s="13"/>
      <c r="O24" s="247"/>
      <c r="P24" s="247"/>
      <c r="Q24" s="248"/>
      <c r="R24" s="248"/>
      <c r="S24" s="249"/>
      <c r="T24" s="248"/>
    </row>
    <row r="25" spans="2:20" ht="12.75">
      <c r="B25" s="825">
        <v>2009</v>
      </c>
      <c r="C25" s="241">
        <f>+D25+J25</f>
        <v>6246.409000000001</v>
      </c>
      <c r="D25" s="172">
        <f>SUM(E25:F25)</f>
        <v>6064.462</v>
      </c>
      <c r="E25" s="192">
        <v>2982.3650000000002</v>
      </c>
      <c r="F25" s="221">
        <v>3082.097</v>
      </c>
      <c r="G25" s="242"/>
      <c r="H25" s="192"/>
      <c r="I25" s="192"/>
      <c r="J25" s="174">
        <f>SUM(K25:M25)</f>
        <v>181.947</v>
      </c>
      <c r="K25" s="192">
        <v>54.797</v>
      </c>
      <c r="L25" s="194">
        <v>126.45</v>
      </c>
      <c r="M25" s="175">
        <v>0.7</v>
      </c>
      <c r="N25" s="13"/>
      <c r="O25" s="247"/>
      <c r="P25" s="247"/>
      <c r="Q25" s="248"/>
      <c r="R25" s="248"/>
      <c r="S25" s="249"/>
      <c r="T25" s="248"/>
    </row>
    <row r="26" spans="2:20" ht="12.75">
      <c r="B26" s="824">
        <v>2010</v>
      </c>
      <c r="C26" s="236">
        <f>+D26+J26</f>
        <v>6875.038000000001</v>
      </c>
      <c r="D26" s="179">
        <f>SUM(E26:F26)</f>
        <v>6727.062000000002</v>
      </c>
      <c r="E26" s="195">
        <v>3188.2890000000007</v>
      </c>
      <c r="F26" s="222">
        <v>3538.7730000000006</v>
      </c>
      <c r="G26" s="237"/>
      <c r="H26" s="195"/>
      <c r="I26" s="195"/>
      <c r="J26" s="181">
        <f>SUM(K26:M26)</f>
        <v>147.976</v>
      </c>
      <c r="K26" s="195">
        <v>49.07199999999999</v>
      </c>
      <c r="L26" s="196">
        <v>98.20400000000001</v>
      </c>
      <c r="M26" s="238">
        <v>0.7</v>
      </c>
      <c r="N26" s="13"/>
      <c r="O26" s="247"/>
      <c r="P26" s="247"/>
      <c r="Q26" s="248"/>
      <c r="R26" s="248"/>
      <c r="S26" s="249"/>
      <c r="T26" s="248"/>
    </row>
    <row r="27" spans="2:20" ht="12.75">
      <c r="B27" s="826">
        <v>2011</v>
      </c>
      <c r="C27" s="241">
        <f>+D27+J27</f>
        <v>6836.319999999999</v>
      </c>
      <c r="D27" s="172">
        <f>SUM(E27:F27)</f>
        <v>6699.869999999999</v>
      </c>
      <c r="E27" s="192">
        <v>3192.6039999999994</v>
      </c>
      <c r="F27" s="221">
        <v>3507.266</v>
      </c>
      <c r="G27" s="242"/>
      <c r="H27" s="192"/>
      <c r="I27" s="192"/>
      <c r="J27" s="174">
        <f>SUM(K27:M27)</f>
        <v>136.45</v>
      </c>
      <c r="K27" s="192">
        <v>43.13</v>
      </c>
      <c r="L27" s="194">
        <v>92.62</v>
      </c>
      <c r="M27" s="175">
        <v>0.7</v>
      </c>
      <c r="N27" s="13"/>
      <c r="O27" s="247"/>
      <c r="P27" s="247"/>
      <c r="Q27" s="248"/>
      <c r="R27" s="248"/>
      <c r="S27" s="249"/>
      <c r="T27" s="248"/>
    </row>
    <row r="28" spans="2:20" ht="13.5" thickBot="1">
      <c r="B28" s="235"/>
      <c r="C28" s="236"/>
      <c r="D28" s="179"/>
      <c r="E28" s="195"/>
      <c r="F28" s="222"/>
      <c r="G28" s="237"/>
      <c r="H28" s="195"/>
      <c r="I28" s="195"/>
      <c r="J28" s="181"/>
      <c r="K28" s="195"/>
      <c r="L28" s="196"/>
      <c r="M28" s="238"/>
      <c r="N28" s="13"/>
      <c r="O28" s="247"/>
      <c r="P28" s="247"/>
      <c r="Q28" s="248"/>
      <c r="R28" s="248"/>
      <c r="S28" s="249"/>
      <c r="T28" s="248"/>
    </row>
    <row r="29" spans="2:13" ht="21" customHeight="1">
      <c r="B29" s="794" t="s">
        <v>167</v>
      </c>
      <c r="C29" s="1363">
        <f>(C27/C26)-1</f>
        <v>-0.005631677963089499</v>
      </c>
      <c r="D29" s="1435">
        <f>(D27/D26)-1</f>
        <v>-0.004042180672632845</v>
      </c>
      <c r="E29" s="1436">
        <f>(E27/E26)-1</f>
        <v>0.00135339048624461</v>
      </c>
      <c r="F29" s="1366">
        <f>(F27/F26)-1</f>
        <v>-0.008903368483935137</v>
      </c>
      <c r="G29" s="251"/>
      <c r="H29" s="1367"/>
      <c r="I29" s="1368"/>
      <c r="J29" s="1369">
        <f>(J27/J26)-1</f>
        <v>-0.07789100935286808</v>
      </c>
      <c r="K29" s="1370">
        <f>(K27/K26)-1</f>
        <v>-0.12108738180632517</v>
      </c>
      <c r="L29" s="1371">
        <f>(L27/L26)-1</f>
        <v>-0.05686122764856827</v>
      </c>
      <c r="M29" s="1372"/>
    </row>
    <row r="30" spans="2:13" ht="21" customHeight="1">
      <c r="B30" s="201" t="s">
        <v>171</v>
      </c>
      <c r="C30" s="1437">
        <f>((C27/C22)^(1/5))-1</f>
        <v>0.06184109288881379</v>
      </c>
      <c r="D30" s="1438">
        <f>((D27/D22)^(1/5))-1</f>
        <v>0.06493662321035898</v>
      </c>
      <c r="E30" s="1439">
        <f>((E27/E22)^(1/5))-1</f>
        <v>0.022311253713592993</v>
      </c>
      <c r="F30" s="1440">
        <f>((F27/F22)^(1/5))-1</f>
        <v>0.11529371316424153</v>
      </c>
      <c r="G30" s="164"/>
      <c r="H30" s="252"/>
      <c r="I30" s="1377"/>
      <c r="J30" s="1441">
        <f>((J27/J22)^(1/5))-1</f>
        <v>-0.04613709359965268</v>
      </c>
      <c r="K30" s="1439">
        <f>((K27/K22)^(1/5))-1</f>
        <v>-0.0857352454535042</v>
      </c>
      <c r="L30" s="1440">
        <f>((L27/L22)^(1/5))-1</f>
        <v>-0.024000563892582427</v>
      </c>
      <c r="M30" s="1379"/>
    </row>
    <row r="31" spans="2:13" ht="21" customHeight="1">
      <c r="B31" s="795" t="s">
        <v>169</v>
      </c>
      <c r="C31" s="1317">
        <f>(C27/C14)-1</f>
        <v>0.43140976583642754</v>
      </c>
      <c r="D31" s="1380">
        <f>(D27/(D14+G14))-1</f>
        <v>0.48840124166173626</v>
      </c>
      <c r="E31" s="1381">
        <f>(E27/(E14+H14))-1</f>
        <v>0.2744142675460266</v>
      </c>
      <c r="F31" s="1382">
        <f>(F27/(F14+I14))-1</f>
        <v>0.7569422006348958</v>
      </c>
      <c r="G31" s="164"/>
      <c r="H31" s="1383"/>
      <c r="I31" s="1377"/>
      <c r="J31" s="1384">
        <f>(J27/J14)-1</f>
        <v>-0.5030012966767194</v>
      </c>
      <c r="K31" s="1381">
        <f>(K27/K14)-1</f>
        <v>-0.39056097216334595</v>
      </c>
      <c r="L31" s="1381">
        <f>(L27/L14)-1</f>
        <v>-0.5439190852775779</v>
      </c>
      <c r="M31" s="1379"/>
    </row>
    <row r="32" spans="2:13" ht="21" customHeight="1" thickBot="1">
      <c r="B32" s="796" t="s">
        <v>170</v>
      </c>
      <c r="C32" s="1359">
        <f>((C27/C14)^(1/11))-1</f>
        <v>0.03314281905705152</v>
      </c>
      <c r="D32" s="1442">
        <f>((D27/(D14+G14))^(1/11))-1</f>
        <v>0.03681630983503337</v>
      </c>
      <c r="E32" s="1443">
        <f>((E27/(E14+H14))^(1/11))-1</f>
        <v>0.02228901279337503</v>
      </c>
      <c r="F32" s="1444">
        <f>((F27/(F14+I14))^(1/11))-1</f>
        <v>0.05256925292452341</v>
      </c>
      <c r="G32" s="1379"/>
      <c r="H32" s="1383"/>
      <c r="I32" s="1377"/>
      <c r="J32" s="1445">
        <f>((J27/J14)^(1/11))-1</f>
        <v>-0.061582858160999954</v>
      </c>
      <c r="K32" s="1443">
        <f>((K27/K14)^(1/11))-1</f>
        <v>-0.04402132257652536</v>
      </c>
      <c r="L32" s="1444">
        <f>((L27/L14)^(1/11))-1</f>
        <v>-0.06888395816661408</v>
      </c>
      <c r="M32" s="1379"/>
    </row>
    <row r="33" spans="2:10" ht="12.75">
      <c r="B33" t="s">
        <v>178</v>
      </c>
      <c r="C33" s="1334"/>
      <c r="D33" s="1335"/>
      <c r="G33" s="1336"/>
      <c r="H33" s="1446"/>
      <c r="I33" s="1447"/>
      <c r="J33" s="1334"/>
    </row>
    <row r="34" spans="2:9" ht="12.75">
      <c r="B34" s="110"/>
      <c r="H34" s="1446"/>
      <c r="I34" s="1447"/>
    </row>
    <row r="35" spans="2:8" ht="12.75">
      <c r="B35" s="34"/>
      <c r="H35" s="105"/>
    </row>
    <row r="36" spans="2:12" ht="12.75">
      <c r="B36" s="110"/>
      <c r="E36" s="105"/>
      <c r="F36" s="105"/>
      <c r="H36" s="105"/>
      <c r="L36" s="24"/>
    </row>
    <row r="37" spans="2:12" ht="12.75">
      <c r="B37" s="110"/>
      <c r="L37" s="253"/>
    </row>
    <row r="38" spans="2:12" ht="12.75">
      <c r="B38" s="110"/>
      <c r="L38" s="24"/>
    </row>
    <row r="39" ht="12.75">
      <c r="B39" s="110"/>
    </row>
    <row r="40" ht="12.75">
      <c r="B40" s="110"/>
    </row>
    <row r="43" ht="15.75">
      <c r="B43" s="88" t="s">
        <v>83</v>
      </c>
    </row>
    <row r="44" ht="12.75">
      <c r="B44" s="34"/>
    </row>
    <row r="45" ht="13.5" thickBot="1"/>
    <row r="46" spans="2:13" ht="12.75">
      <c r="B46" s="254" t="s">
        <v>47</v>
      </c>
      <c r="C46" s="255" t="s">
        <v>64</v>
      </c>
      <c r="D46" s="1591" t="s">
        <v>74</v>
      </c>
      <c r="E46" s="1592"/>
      <c r="F46" s="1593"/>
      <c r="G46" s="1594" t="s">
        <v>81</v>
      </c>
      <c r="H46" s="1594"/>
      <c r="I46" s="1594"/>
      <c r="J46" s="1594" t="s">
        <v>80</v>
      </c>
      <c r="K46" s="1594"/>
      <c r="L46" s="1594"/>
      <c r="M46" s="1595"/>
    </row>
    <row r="47" spans="2:13" ht="13.5" thickBot="1">
      <c r="B47" s="159"/>
      <c r="C47" s="163"/>
      <c r="D47" s="210" t="s">
        <v>68</v>
      </c>
      <c r="E47" s="211" t="s">
        <v>69</v>
      </c>
      <c r="F47" s="210" t="s">
        <v>70</v>
      </c>
      <c r="G47" s="210" t="s">
        <v>68</v>
      </c>
      <c r="H47" s="210" t="s">
        <v>69</v>
      </c>
      <c r="I47" s="210" t="s">
        <v>70</v>
      </c>
      <c r="J47" s="210" t="s">
        <v>68</v>
      </c>
      <c r="K47" s="210" t="s">
        <v>69</v>
      </c>
      <c r="L47" s="210" t="s">
        <v>70</v>
      </c>
      <c r="M47" s="232" t="s">
        <v>71</v>
      </c>
    </row>
    <row r="48" spans="2:13" ht="12.75">
      <c r="B48" s="164"/>
      <c r="C48" s="165"/>
      <c r="D48" s="169"/>
      <c r="E48" s="168"/>
      <c r="F48" s="212"/>
      <c r="G48" s="234"/>
      <c r="H48" s="168"/>
      <c r="I48" s="168"/>
      <c r="J48" s="165"/>
      <c r="K48" s="168"/>
      <c r="L48" s="169"/>
      <c r="M48" s="170"/>
    </row>
    <row r="49" spans="2:13" ht="12.75">
      <c r="B49" s="823">
        <v>1995</v>
      </c>
      <c r="C49" s="178">
        <f aca="true" t="shared" si="7" ref="C49:C54">+D49+G49+J49</f>
        <v>880.0160000000001</v>
      </c>
      <c r="D49" s="179">
        <f aca="true" t="shared" si="8" ref="D49:D54">SUM(E49:F49)</f>
        <v>380.07</v>
      </c>
      <c r="E49" s="182">
        <v>196.31</v>
      </c>
      <c r="F49" s="213">
        <v>183.76</v>
      </c>
      <c r="G49" s="237">
        <f aca="true" t="shared" si="9" ref="G49:G54">SUM(H49:I49)</f>
        <v>230.02</v>
      </c>
      <c r="H49" s="180">
        <v>0</v>
      </c>
      <c r="I49" s="140">
        <v>230.02</v>
      </c>
      <c r="J49" s="181">
        <f aca="true" t="shared" si="10" ref="J49:J54">SUM(K49:M49)</f>
        <v>269.926</v>
      </c>
      <c r="K49" s="182">
        <v>72.66</v>
      </c>
      <c r="L49" s="147">
        <v>197.266</v>
      </c>
      <c r="M49" s="238"/>
    </row>
    <row r="50" spans="2:13" ht="12.75">
      <c r="B50" s="822">
        <v>1996</v>
      </c>
      <c r="C50" s="171">
        <f t="shared" si="7"/>
        <v>1123.7</v>
      </c>
      <c r="D50" s="172">
        <f t="shared" si="8"/>
        <v>319.918</v>
      </c>
      <c r="E50" s="134">
        <v>193.136</v>
      </c>
      <c r="F50" s="217">
        <v>126.78200000000001</v>
      </c>
      <c r="G50" s="242">
        <f t="shared" si="9"/>
        <v>560.924</v>
      </c>
      <c r="H50" s="173">
        <v>20.43</v>
      </c>
      <c r="I50" s="132">
        <v>540.494</v>
      </c>
      <c r="J50" s="174">
        <f t="shared" si="10"/>
        <v>242.858</v>
      </c>
      <c r="K50" s="134">
        <v>63.46</v>
      </c>
      <c r="L50" s="144">
        <v>179.398</v>
      </c>
      <c r="M50" s="175"/>
    </row>
    <row r="51" spans="2:13" ht="12.75">
      <c r="B51" s="823">
        <v>1997</v>
      </c>
      <c r="C51" s="178">
        <f t="shared" si="7"/>
        <v>754.1859999999999</v>
      </c>
      <c r="D51" s="179">
        <f t="shared" si="8"/>
        <v>122.578</v>
      </c>
      <c r="E51" s="182">
        <v>12.906</v>
      </c>
      <c r="F51" s="213">
        <v>109.672</v>
      </c>
      <c r="G51" s="237">
        <f t="shared" si="9"/>
        <v>64.55</v>
      </c>
      <c r="H51" s="180">
        <v>0</v>
      </c>
      <c r="I51" s="140">
        <v>64.55</v>
      </c>
      <c r="J51" s="181">
        <f t="shared" si="10"/>
        <v>567.058</v>
      </c>
      <c r="K51" s="182">
        <v>77.827</v>
      </c>
      <c r="L51" s="147">
        <v>489.231</v>
      </c>
      <c r="M51" s="238"/>
    </row>
    <row r="52" spans="2:13" ht="12.75">
      <c r="B52" s="822">
        <v>1998</v>
      </c>
      <c r="C52" s="171">
        <f t="shared" si="7"/>
        <v>760.8299999999999</v>
      </c>
      <c r="D52" s="172">
        <f t="shared" si="8"/>
        <v>100.154</v>
      </c>
      <c r="E52" s="134">
        <v>12.906</v>
      </c>
      <c r="F52" s="217">
        <v>87.24799999999999</v>
      </c>
      <c r="G52" s="242">
        <f t="shared" si="9"/>
        <v>46.33</v>
      </c>
      <c r="H52" s="173">
        <v>0</v>
      </c>
      <c r="I52" s="132">
        <v>46.33</v>
      </c>
      <c r="J52" s="174">
        <f t="shared" si="10"/>
        <v>614.346</v>
      </c>
      <c r="K52" s="134">
        <v>81.061</v>
      </c>
      <c r="L52" s="144">
        <v>533.285</v>
      </c>
      <c r="M52" s="175"/>
    </row>
    <row r="53" spans="2:13" ht="12.75">
      <c r="B53" s="823">
        <v>1999</v>
      </c>
      <c r="C53" s="178">
        <f t="shared" si="7"/>
        <v>798.2270000000001</v>
      </c>
      <c r="D53" s="179">
        <f t="shared" si="8"/>
        <v>58.398</v>
      </c>
      <c r="E53" s="182">
        <v>12.906</v>
      </c>
      <c r="F53" s="213">
        <v>45.492000000000004</v>
      </c>
      <c r="G53" s="237">
        <f t="shared" si="9"/>
        <v>42.965999999999994</v>
      </c>
      <c r="H53" s="180">
        <v>0</v>
      </c>
      <c r="I53" s="140">
        <v>42.965999999999994</v>
      </c>
      <c r="J53" s="181">
        <f t="shared" si="10"/>
        <v>696.863</v>
      </c>
      <c r="K53" s="182">
        <v>62.57699999999999</v>
      </c>
      <c r="L53" s="147">
        <v>634.2860000000001</v>
      </c>
      <c r="M53" s="238"/>
    </row>
    <row r="54" spans="2:13" ht="12.75">
      <c r="B54" s="822">
        <v>2000</v>
      </c>
      <c r="C54" s="171">
        <f t="shared" si="7"/>
        <v>778.9110000000002</v>
      </c>
      <c r="D54" s="172">
        <f t="shared" si="8"/>
        <v>40.433</v>
      </c>
      <c r="E54" s="134">
        <v>12.906</v>
      </c>
      <c r="F54" s="217">
        <v>27.526999999999997</v>
      </c>
      <c r="G54" s="242">
        <f t="shared" si="9"/>
        <v>49.446</v>
      </c>
      <c r="H54" s="173">
        <v>0</v>
      </c>
      <c r="I54" s="132">
        <v>49.446</v>
      </c>
      <c r="J54" s="174">
        <f t="shared" si="10"/>
        <v>689.0320000000002</v>
      </c>
      <c r="K54" s="134">
        <v>62.065</v>
      </c>
      <c r="L54" s="144">
        <v>626.9670000000001</v>
      </c>
      <c r="M54" s="175"/>
    </row>
    <row r="55" spans="2:13" ht="12.75">
      <c r="B55" s="822"/>
      <c r="C55" s="185"/>
      <c r="D55" s="186"/>
      <c r="E55" s="187"/>
      <c r="F55" s="244"/>
      <c r="G55" s="245"/>
      <c r="H55" s="187"/>
      <c r="I55" s="187"/>
      <c r="J55" s="189"/>
      <c r="K55" s="187"/>
      <c r="L55" s="190"/>
      <c r="M55" s="191"/>
    </row>
    <row r="56" spans="2:13" ht="12.75">
      <c r="B56" s="822"/>
      <c r="C56" s="185"/>
      <c r="D56" s="1580" t="s">
        <v>72</v>
      </c>
      <c r="E56" s="1581"/>
      <c r="F56" s="1590"/>
      <c r="G56" s="245"/>
      <c r="H56" s="187"/>
      <c r="I56" s="187"/>
      <c r="J56" s="189"/>
      <c r="K56" s="187"/>
      <c r="L56" s="190"/>
      <c r="M56" s="256"/>
    </row>
    <row r="57" spans="2:14" ht="12.75">
      <c r="B57" s="822">
        <v>2001</v>
      </c>
      <c r="C57" s="171">
        <f aca="true" t="shared" si="11" ref="C57:C63">+D57+J57</f>
        <v>745.113</v>
      </c>
      <c r="D57" s="257">
        <f aca="true" t="shared" si="12" ref="D57:D63">SUM(E57:F57)</f>
        <v>101.07900000000001</v>
      </c>
      <c r="E57" s="258">
        <v>12.906</v>
      </c>
      <c r="F57" s="246">
        <v>88.173</v>
      </c>
      <c r="G57" s="245"/>
      <c r="H57" s="187"/>
      <c r="I57" s="187"/>
      <c r="J57" s="174">
        <f aca="true" t="shared" si="13" ref="J57:J63">SUM(K57:M57)</f>
        <v>644.0340000000001</v>
      </c>
      <c r="K57" s="192">
        <v>56.76199999999999</v>
      </c>
      <c r="L57" s="194">
        <v>587.2720000000002</v>
      </c>
      <c r="M57" s="175"/>
      <c r="N57" s="13"/>
    </row>
    <row r="58" spans="2:14" ht="12.75">
      <c r="B58" s="823">
        <v>2002</v>
      </c>
      <c r="C58" s="178">
        <f t="shared" si="11"/>
        <v>737.8420000000007</v>
      </c>
      <c r="D58" s="259">
        <f t="shared" si="12"/>
        <v>80.70100000000001</v>
      </c>
      <c r="E58" s="196">
        <v>12.906</v>
      </c>
      <c r="F58" s="222">
        <v>67.795</v>
      </c>
      <c r="G58" s="260"/>
      <c r="H58" s="261"/>
      <c r="I58" s="261"/>
      <c r="J58" s="181">
        <f t="shared" si="13"/>
        <v>657.1410000000006</v>
      </c>
      <c r="K58" s="195">
        <v>59.51299999999999</v>
      </c>
      <c r="L58" s="196">
        <v>597.6280000000006</v>
      </c>
      <c r="M58" s="238"/>
      <c r="N58" s="13"/>
    </row>
    <row r="59" spans="2:14" ht="12.75">
      <c r="B59" s="822">
        <v>2003</v>
      </c>
      <c r="C59" s="171">
        <f t="shared" si="11"/>
        <v>735.4130000000004</v>
      </c>
      <c r="D59" s="257">
        <f t="shared" si="12"/>
        <v>80.21200000000002</v>
      </c>
      <c r="E59" s="194">
        <v>12.906</v>
      </c>
      <c r="F59" s="221">
        <v>67.30600000000001</v>
      </c>
      <c r="G59" s="245"/>
      <c r="H59" s="187"/>
      <c r="I59" s="187"/>
      <c r="J59" s="174">
        <f t="shared" si="13"/>
        <v>655.2010000000004</v>
      </c>
      <c r="K59" s="192">
        <v>57.137999999999984</v>
      </c>
      <c r="L59" s="194">
        <v>598.0630000000003</v>
      </c>
      <c r="M59" s="175"/>
      <c r="N59" s="13"/>
    </row>
    <row r="60" spans="2:14" ht="12.75">
      <c r="B60" s="823">
        <v>2004</v>
      </c>
      <c r="C60" s="178">
        <f t="shared" si="11"/>
        <v>760.6440000000003</v>
      </c>
      <c r="D60" s="259">
        <f t="shared" si="12"/>
        <v>113.89800000000001</v>
      </c>
      <c r="E60" s="196">
        <v>12.5</v>
      </c>
      <c r="F60" s="222">
        <v>101.39800000000001</v>
      </c>
      <c r="G60" s="260"/>
      <c r="H60" s="261"/>
      <c r="I60" s="261"/>
      <c r="J60" s="181">
        <f t="shared" si="13"/>
        <v>646.7460000000003</v>
      </c>
      <c r="K60" s="195">
        <v>55.232</v>
      </c>
      <c r="L60" s="196">
        <v>591.5140000000004</v>
      </c>
      <c r="M60" s="238"/>
      <c r="N60" s="13"/>
    </row>
    <row r="61" spans="2:14" ht="12.75">
      <c r="B61" s="822">
        <v>2005</v>
      </c>
      <c r="C61" s="171">
        <f t="shared" si="11"/>
        <v>812.2620000000003</v>
      </c>
      <c r="D61" s="257">
        <f t="shared" si="12"/>
        <v>126.95800000000001</v>
      </c>
      <c r="E61" s="194">
        <v>12.5</v>
      </c>
      <c r="F61" s="221">
        <v>114.45800000000001</v>
      </c>
      <c r="G61" s="245"/>
      <c r="H61" s="187"/>
      <c r="I61" s="187"/>
      <c r="J61" s="174">
        <f t="shared" si="13"/>
        <v>685.3040000000003</v>
      </c>
      <c r="K61" s="192">
        <v>57.93</v>
      </c>
      <c r="L61" s="194">
        <v>627.3740000000004</v>
      </c>
      <c r="M61" s="175"/>
      <c r="N61" s="13"/>
    </row>
    <row r="62" spans="2:14" ht="12.75">
      <c r="B62" s="823">
        <v>2006</v>
      </c>
      <c r="C62" s="178">
        <f>+D62+J62</f>
        <v>809.038</v>
      </c>
      <c r="D62" s="259">
        <f>SUM(E62:F62)</f>
        <v>108.992</v>
      </c>
      <c r="E62" s="196">
        <v>12.5</v>
      </c>
      <c r="F62" s="222">
        <v>96.492</v>
      </c>
      <c r="G62" s="260"/>
      <c r="H62" s="261"/>
      <c r="I62" s="261"/>
      <c r="J62" s="181">
        <f>SUM(K62:M62)</f>
        <v>700.046</v>
      </c>
      <c r="K62" s="195">
        <v>56.856</v>
      </c>
      <c r="L62" s="196">
        <v>643.19</v>
      </c>
      <c r="M62" s="238"/>
      <c r="N62" s="13"/>
    </row>
    <row r="63" spans="2:14" ht="12.75">
      <c r="B63" s="822">
        <v>2007</v>
      </c>
      <c r="C63" s="171">
        <f t="shared" si="11"/>
        <v>819.1590000000001</v>
      </c>
      <c r="D63" s="257">
        <f t="shared" si="12"/>
        <v>110.52600000000004</v>
      </c>
      <c r="E63" s="194">
        <v>12.5</v>
      </c>
      <c r="F63" s="221">
        <v>98.02600000000004</v>
      </c>
      <c r="G63" s="245"/>
      <c r="H63" s="187"/>
      <c r="I63" s="187"/>
      <c r="J63" s="174">
        <f t="shared" si="13"/>
        <v>708.633</v>
      </c>
      <c r="K63" s="192">
        <v>61.210999999999984</v>
      </c>
      <c r="L63" s="194">
        <v>647.422</v>
      </c>
      <c r="M63" s="175"/>
      <c r="N63" s="13"/>
    </row>
    <row r="64" spans="2:14" ht="12.75">
      <c r="B64" s="823">
        <v>2008</v>
      </c>
      <c r="C64" s="178">
        <f>+D64+J64</f>
        <v>904.728</v>
      </c>
      <c r="D64" s="259">
        <f>SUM(E64:F64)</f>
        <v>107.71000000000001</v>
      </c>
      <c r="E64" s="196">
        <v>12.5</v>
      </c>
      <c r="F64" s="222">
        <v>95.21000000000001</v>
      </c>
      <c r="G64" s="260"/>
      <c r="H64" s="261"/>
      <c r="I64" s="261"/>
      <c r="J64" s="181">
        <f>SUM(K64:M64)</f>
        <v>797.0179999999999</v>
      </c>
      <c r="K64" s="195">
        <v>62.280999999999985</v>
      </c>
      <c r="L64" s="196">
        <v>734.737</v>
      </c>
      <c r="M64" s="238"/>
      <c r="N64" s="13"/>
    </row>
    <row r="65" spans="2:14" ht="12.75">
      <c r="B65" s="822">
        <v>2009</v>
      </c>
      <c r="C65" s="171">
        <f>+D65+J65</f>
        <v>1009.9380000000001</v>
      </c>
      <c r="D65" s="257">
        <f>SUM(E65:F65)</f>
        <v>124.221</v>
      </c>
      <c r="E65" s="194">
        <v>12.5</v>
      </c>
      <c r="F65" s="221">
        <v>111.721</v>
      </c>
      <c r="G65" s="245"/>
      <c r="H65" s="187"/>
      <c r="I65" s="187"/>
      <c r="J65" s="174">
        <f>SUM(K65:M65)</f>
        <v>885.7170000000001</v>
      </c>
      <c r="K65" s="192">
        <v>66.106</v>
      </c>
      <c r="L65" s="194">
        <v>819.6110000000001</v>
      </c>
      <c r="M65" s="175"/>
      <c r="N65" s="13"/>
    </row>
    <row r="66" spans="2:14" ht="12.75">
      <c r="B66" s="823">
        <v>2010</v>
      </c>
      <c r="C66" s="178">
        <f>+D66+J66</f>
        <v>1125.3490000000004</v>
      </c>
      <c r="D66" s="259">
        <f>SUM(E66:F66)</f>
        <v>160.574</v>
      </c>
      <c r="E66" s="196">
        <v>12.5</v>
      </c>
      <c r="F66" s="222">
        <v>148.074</v>
      </c>
      <c r="G66" s="260"/>
      <c r="H66" s="261"/>
      <c r="I66" s="261"/>
      <c r="J66" s="181">
        <f>SUM(K66:M66)</f>
        <v>964.7750000000003</v>
      </c>
      <c r="K66" s="195">
        <v>67.584</v>
      </c>
      <c r="L66" s="196">
        <v>897.1910000000003</v>
      </c>
      <c r="M66" s="238"/>
      <c r="N66" s="13"/>
    </row>
    <row r="67" spans="2:14" ht="12.75">
      <c r="B67" s="826">
        <v>2011</v>
      </c>
      <c r="C67" s="241">
        <f>+D67+J67</f>
        <v>1037.2790000000007</v>
      </c>
      <c r="D67" s="172">
        <f>SUM(E67:F67)</f>
        <v>141.33100000000002</v>
      </c>
      <c r="E67" s="192">
        <v>12.5</v>
      </c>
      <c r="F67" s="221">
        <v>128.83100000000002</v>
      </c>
      <c r="G67" s="242"/>
      <c r="H67" s="192"/>
      <c r="I67" s="192"/>
      <c r="J67" s="174">
        <f>SUM(K67:M67)</f>
        <v>895.9480000000007</v>
      </c>
      <c r="K67" s="192">
        <v>69.796</v>
      </c>
      <c r="L67" s="194">
        <v>826.1520000000006</v>
      </c>
      <c r="M67" s="175"/>
      <c r="N67" s="13"/>
    </row>
    <row r="68" spans="2:13" ht="13.5" thickBot="1">
      <c r="B68" s="235"/>
      <c r="C68" s="236"/>
      <c r="D68" s="179"/>
      <c r="E68" s="195"/>
      <c r="F68" s="222"/>
      <c r="G68" s="237"/>
      <c r="H68" s="195"/>
      <c r="I68" s="195"/>
      <c r="J68" s="181"/>
      <c r="K68" s="195"/>
      <c r="L68" s="196"/>
      <c r="M68" s="238"/>
    </row>
    <row r="69" spans="2:13" ht="21" customHeight="1">
      <c r="B69" s="794" t="s">
        <v>167</v>
      </c>
      <c r="C69" s="1363">
        <f>(C67/C66)-1</f>
        <v>-0.07826016640171152</v>
      </c>
      <c r="D69" s="1364">
        <f>(D67/D66)-1</f>
        <v>-0.11983882820381875</v>
      </c>
      <c r="E69" s="1365">
        <f>(E67/E66)-1</f>
        <v>0</v>
      </c>
      <c r="F69" s="1366">
        <f>(F67/F66)-1</f>
        <v>-0.12995529262395822</v>
      </c>
      <c r="G69" s="251"/>
      <c r="H69" s="1367"/>
      <c r="I69" s="1368"/>
      <c r="J69" s="1369">
        <f>(J67/J66)-1</f>
        <v>-0.0713399497292111</v>
      </c>
      <c r="K69" s="1370">
        <f>(K67/K66)-1</f>
        <v>0.03272964015151514</v>
      </c>
      <c r="L69" s="1371">
        <f>(L67/L66)-1</f>
        <v>-0.07917934977056129</v>
      </c>
      <c r="M69" s="1372"/>
    </row>
    <row r="70" spans="2:13" ht="21" customHeight="1">
      <c r="B70" s="201" t="s">
        <v>171</v>
      </c>
      <c r="C70" s="1437">
        <f>((C67/C62)^(1/5))-1</f>
        <v>0.05095793359304368</v>
      </c>
      <c r="D70" s="1438">
        <f>((D67/D62)^(1/5))-1</f>
        <v>0.05333996457203649</v>
      </c>
      <c r="E70" s="1439">
        <f>((E67/E62)^(1/5))-1</f>
        <v>0</v>
      </c>
      <c r="F70" s="1440">
        <f>((F67/F62)^(1/5))-1</f>
        <v>0.05951183912159741</v>
      </c>
      <c r="G70" s="164"/>
      <c r="H70" s="252"/>
      <c r="I70" s="1377"/>
      <c r="J70" s="1441">
        <f>((J67/J62)^(1/5))-1</f>
        <v>0.05058511955781886</v>
      </c>
      <c r="K70" s="1439">
        <f>((K67/K62)^(1/5))-1</f>
        <v>0.04186355473191972</v>
      </c>
      <c r="L70" s="1440">
        <f>((L67/L62)^(1/5))-1</f>
        <v>0.05134229201792517</v>
      </c>
      <c r="M70" s="1379"/>
    </row>
    <row r="71" spans="2:13" ht="21" customHeight="1">
      <c r="B71" s="795" t="s">
        <v>169</v>
      </c>
      <c r="C71" s="1317">
        <f>(C67/C54)-1</f>
        <v>0.33170413564579326</v>
      </c>
      <c r="D71" s="1380">
        <f>(D67/(D54+G54))-1</f>
        <v>0.5724585275759635</v>
      </c>
      <c r="E71" s="1381">
        <f>(E67/(E54+H54))-1</f>
        <v>-0.03145823647915702</v>
      </c>
      <c r="F71" s="1382">
        <f>(F67/(F54+I54))-1</f>
        <v>0.6737167578241723</v>
      </c>
      <c r="G71" s="164"/>
      <c r="H71" s="1383"/>
      <c r="I71" s="1377"/>
      <c r="J71" s="1384">
        <f>(J67/J54)-1</f>
        <v>0.3002995506739896</v>
      </c>
      <c r="K71" s="1381">
        <f>(K67/K54)-1</f>
        <v>0.12456295818899554</v>
      </c>
      <c r="L71" s="1381">
        <f>(L67/L54)-1</f>
        <v>0.3176961466871471</v>
      </c>
      <c r="M71" s="1379"/>
    </row>
    <row r="72" spans="2:13" ht="20.25" customHeight="1" thickBot="1">
      <c r="B72" s="796" t="s">
        <v>170</v>
      </c>
      <c r="C72" s="1359">
        <f>((C67/C54)^(1/11))-1</f>
        <v>0.026383815623566953</v>
      </c>
      <c r="D72" s="1442">
        <f>((D67/(D54+G54))^(1/11))-1</f>
        <v>0.04200747960146978</v>
      </c>
      <c r="E72" s="1443">
        <f>((E67/(E54+H54))^(1/11))-1</f>
        <v>-0.0029015709374361487</v>
      </c>
      <c r="F72" s="1444">
        <f>((F67/(F54+I54))^(1/11))-1</f>
        <v>0.04793591314322154</v>
      </c>
      <c r="G72" s="1379"/>
      <c r="H72" s="1383"/>
      <c r="I72" s="1377"/>
      <c r="J72" s="1445">
        <f>((J67/J54)^(1/11))-1</f>
        <v>0.02415946492237664</v>
      </c>
      <c r="K72" s="1443">
        <f>((K67/K54)^(1/11))-1</f>
        <v>0.01072937665072482</v>
      </c>
      <c r="L72" s="1444">
        <f>((L67/L54)^(1/11))-1</f>
        <v>0.02539760282743364</v>
      </c>
      <c r="M72" s="1379"/>
    </row>
    <row r="73" spans="2:10" ht="12.75">
      <c r="B73" t="s">
        <v>178</v>
      </c>
      <c r="C73" s="1334"/>
      <c r="D73" s="1335"/>
      <c r="G73" s="1336"/>
      <c r="H73" s="1448"/>
      <c r="I73" s="1337"/>
      <c r="J73" s="1334"/>
    </row>
    <row r="74" spans="2:8" ht="12.75">
      <c r="B74" s="110"/>
      <c r="H74" s="1448"/>
    </row>
    <row r="75" ht="12.75">
      <c r="B75" s="34"/>
    </row>
    <row r="76" spans="5:6" ht="12.75">
      <c r="E76" s="105"/>
      <c r="F76" s="105"/>
    </row>
    <row r="77" spans="4:6" ht="12.75">
      <c r="D77" s="105"/>
      <c r="E77" s="105"/>
      <c r="F77" s="105"/>
    </row>
    <row r="78" spans="4:6" ht="12.75">
      <c r="D78" s="105"/>
      <c r="E78" s="105"/>
      <c r="F78" s="105"/>
    </row>
  </sheetData>
  <sheetProtection password="B728" sheet="1"/>
  <mergeCells count="8">
    <mergeCell ref="D56:F56"/>
    <mergeCell ref="D6:F6"/>
    <mergeCell ref="G6:I6"/>
    <mergeCell ref="J6:M6"/>
    <mergeCell ref="D16:F16"/>
    <mergeCell ref="D46:F46"/>
    <mergeCell ref="G46:I46"/>
    <mergeCell ref="J46:M46"/>
  </mergeCells>
  <printOptions/>
  <pageMargins left="0.47" right="0.75" top="0.89" bottom="1" header="0" footer="0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Z34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3" width="21.7109375" style="0" customWidth="1"/>
    <col min="4" max="4" width="15.421875" style="0" customWidth="1"/>
    <col min="5" max="5" width="17.28125" style="0" customWidth="1"/>
  </cols>
  <sheetData>
    <row r="2" ht="16.5">
      <c r="A2" s="262" t="s">
        <v>84</v>
      </c>
    </row>
    <row r="4" ht="13.5" thickBot="1"/>
    <row r="5" spans="2:6" ht="12.75">
      <c r="B5" s="263" t="s">
        <v>47</v>
      </c>
      <c r="C5" s="264" t="s">
        <v>85</v>
      </c>
      <c r="D5" s="265"/>
      <c r="E5" s="266"/>
      <c r="F5" s="267"/>
    </row>
    <row r="6" spans="2:6" ht="12.75">
      <c r="B6" s="268"/>
      <c r="C6" s="269" t="s">
        <v>86</v>
      </c>
      <c r="D6" s="265"/>
      <c r="E6" s="266"/>
      <c r="F6" s="267"/>
    </row>
    <row r="7" spans="2:6" ht="12.75">
      <c r="B7" s="270"/>
      <c r="C7" s="271"/>
      <c r="D7" s="265"/>
      <c r="E7" s="266"/>
      <c r="F7" s="267"/>
    </row>
    <row r="8" spans="2:26" ht="12.75">
      <c r="B8" s="827">
        <v>1995</v>
      </c>
      <c r="C8" s="1424">
        <v>2052.1</v>
      </c>
      <c r="D8" s="272"/>
      <c r="E8" s="200"/>
      <c r="F8" s="15"/>
      <c r="O8" s="32"/>
      <c r="P8" s="32"/>
      <c r="Q8" s="32"/>
      <c r="R8" s="32"/>
      <c r="S8" s="32"/>
      <c r="T8" s="32"/>
      <c r="V8" s="1425"/>
      <c r="W8" s="1425"/>
      <c r="X8" s="1425"/>
      <c r="Y8" s="1425"/>
      <c r="Z8" s="1425"/>
    </row>
    <row r="9" spans="2:26" ht="12.75">
      <c r="B9" s="828">
        <v>1996</v>
      </c>
      <c r="C9" s="1426">
        <v>2024.93</v>
      </c>
      <c r="D9" s="272"/>
      <c r="E9" s="200"/>
      <c r="F9" s="15"/>
      <c r="O9" s="32"/>
      <c r="P9" s="32"/>
      <c r="Q9" s="32"/>
      <c r="R9" s="32"/>
      <c r="S9" s="32"/>
      <c r="T9" s="32"/>
      <c r="U9" s="1176"/>
      <c r="V9" s="1425"/>
      <c r="W9" s="1425"/>
      <c r="X9" s="1425"/>
      <c r="Y9" s="1425"/>
      <c r="Z9" s="1425"/>
    </row>
    <row r="10" spans="2:26" ht="12.75">
      <c r="B10" s="827">
        <v>1997</v>
      </c>
      <c r="C10" s="1424">
        <v>2400.9</v>
      </c>
      <c r="D10" s="272"/>
      <c r="E10" s="200"/>
      <c r="F10" s="273"/>
      <c r="O10" s="32"/>
      <c r="P10" s="32"/>
      <c r="Q10" s="32"/>
      <c r="R10" s="32"/>
      <c r="S10" s="32"/>
      <c r="T10" s="32"/>
      <c r="V10" s="1425"/>
      <c r="W10" s="1425"/>
      <c r="X10" s="1425"/>
      <c r="Y10" s="1425"/>
      <c r="Z10" s="1425"/>
    </row>
    <row r="11" spans="2:26" ht="12.75">
      <c r="B11" s="828">
        <v>1998</v>
      </c>
      <c r="C11" s="1426">
        <v>2520.6</v>
      </c>
      <c r="D11" s="272"/>
      <c r="E11" s="200"/>
      <c r="F11" s="15"/>
      <c r="O11" s="32"/>
      <c r="P11" s="32"/>
      <c r="Q11" s="32"/>
      <c r="R11" s="32"/>
      <c r="S11" s="32"/>
      <c r="T11" s="32"/>
      <c r="V11" s="1425"/>
      <c r="W11" s="1425"/>
      <c r="X11" s="1425"/>
      <c r="Y11" s="1425"/>
      <c r="Z11" s="1425"/>
    </row>
    <row r="12" spans="2:26" ht="12.75">
      <c r="B12" s="827">
        <v>1999</v>
      </c>
      <c r="C12" s="1424">
        <v>2580.3</v>
      </c>
      <c r="D12" s="272"/>
      <c r="E12" s="200"/>
      <c r="F12" s="15"/>
      <c r="O12" s="32"/>
      <c r="P12" s="32"/>
      <c r="Q12" s="32"/>
      <c r="R12" s="32"/>
      <c r="S12" s="32"/>
      <c r="T12" s="32"/>
      <c r="V12" s="1425"/>
      <c r="W12" s="1425"/>
      <c r="X12" s="1425"/>
      <c r="Y12" s="1425"/>
      <c r="Z12" s="1425"/>
    </row>
    <row r="13" spans="2:26" ht="12.75">
      <c r="B13" s="828">
        <v>2000</v>
      </c>
      <c r="C13" s="1426">
        <v>2620.7</v>
      </c>
      <c r="D13" s="272"/>
      <c r="E13" s="200"/>
      <c r="F13" s="15"/>
      <c r="O13" s="32"/>
      <c r="P13" s="32"/>
      <c r="Q13" s="32"/>
      <c r="R13" s="32"/>
      <c r="S13" s="32"/>
      <c r="T13" s="32"/>
      <c r="V13" s="1425"/>
      <c r="W13" s="1425"/>
      <c r="X13" s="1425"/>
      <c r="Y13" s="1425"/>
      <c r="Z13" s="1425"/>
    </row>
    <row r="14" spans="2:26" ht="12.75">
      <c r="B14" s="829" t="s">
        <v>180</v>
      </c>
      <c r="C14" s="1424">
        <v>2792.22</v>
      </c>
      <c r="D14" s="272"/>
      <c r="E14" s="200"/>
      <c r="F14" s="15"/>
      <c r="O14" s="32"/>
      <c r="P14" s="32"/>
      <c r="Q14" s="32"/>
      <c r="R14" s="32"/>
      <c r="S14" s="32"/>
      <c r="T14" s="32"/>
      <c r="V14" s="1425"/>
      <c r="W14" s="1425"/>
      <c r="X14" s="1425"/>
      <c r="Y14" s="1425"/>
      <c r="Z14" s="1425"/>
    </row>
    <row r="15" spans="2:26" ht="12.75">
      <c r="B15" s="828">
        <v>2002</v>
      </c>
      <c r="C15" s="1426">
        <v>2908.2</v>
      </c>
      <c r="D15" s="272"/>
      <c r="E15" s="200"/>
      <c r="F15" s="15"/>
      <c r="O15" s="32"/>
      <c r="P15" s="32"/>
      <c r="Q15" s="32"/>
      <c r="R15" s="32"/>
      <c r="S15" s="32"/>
      <c r="T15" s="32"/>
      <c r="U15" s="1183"/>
      <c r="V15" s="1425"/>
      <c r="W15" s="1425"/>
      <c r="X15" s="1425"/>
      <c r="Y15" s="1425"/>
      <c r="Z15" s="1425"/>
    </row>
    <row r="16" spans="2:26" ht="12.75">
      <c r="B16" s="827">
        <v>2003</v>
      </c>
      <c r="C16" s="1424">
        <v>2964.7549</v>
      </c>
      <c r="D16" s="272"/>
      <c r="E16" s="200"/>
      <c r="F16" s="15"/>
      <c r="O16" s="32"/>
      <c r="P16" s="32"/>
      <c r="Q16" s="32"/>
      <c r="R16" s="32"/>
      <c r="S16" s="32"/>
      <c r="T16" s="32"/>
      <c r="V16" s="1425"/>
      <c r="W16" s="1425"/>
      <c r="X16" s="1425"/>
      <c r="Y16" s="1425"/>
      <c r="Z16" s="1425"/>
    </row>
    <row r="17" spans="2:26" ht="12.75">
      <c r="B17" s="828">
        <v>2004</v>
      </c>
      <c r="C17" s="1426">
        <v>3130.8466199999993</v>
      </c>
      <c r="D17" s="272"/>
      <c r="E17" s="200"/>
      <c r="F17" s="15"/>
      <c r="O17" s="32"/>
      <c r="P17" s="32"/>
      <c r="Q17" s="32"/>
      <c r="R17" s="32"/>
      <c r="S17" s="32"/>
      <c r="T17" s="32"/>
      <c r="V17" s="1425"/>
      <c r="W17" s="1425"/>
      <c r="X17" s="1425"/>
      <c r="Y17" s="1425"/>
      <c r="Z17" s="1425"/>
    </row>
    <row r="18" spans="2:26" ht="12.75">
      <c r="B18" s="827">
        <v>2005</v>
      </c>
      <c r="C18" s="1424">
        <v>3305.01405</v>
      </c>
      <c r="D18" s="272"/>
      <c r="E18" s="200"/>
      <c r="F18" s="15"/>
      <c r="O18" s="32"/>
      <c r="P18" s="32"/>
      <c r="Q18" s="32"/>
      <c r="R18" s="32"/>
      <c r="S18" s="32"/>
      <c r="T18" s="274"/>
      <c r="V18" s="1427"/>
      <c r="W18" s="1427"/>
      <c r="X18" s="1427"/>
      <c r="Y18" s="1427"/>
      <c r="Z18" s="275"/>
    </row>
    <row r="19" spans="2:26" ht="12.75">
      <c r="B19" s="828">
        <v>2006</v>
      </c>
      <c r="C19" s="1426">
        <v>3580</v>
      </c>
      <c r="D19" s="272"/>
      <c r="E19" s="200"/>
      <c r="F19" s="15"/>
      <c r="O19" s="276"/>
      <c r="P19" s="276"/>
      <c r="Q19" s="276"/>
      <c r="R19" s="276"/>
      <c r="S19" s="276"/>
      <c r="T19" s="274"/>
      <c r="V19" s="1427"/>
      <c r="W19" s="1427"/>
      <c r="X19" s="1427"/>
      <c r="Y19" s="1427"/>
      <c r="Z19" s="275"/>
    </row>
    <row r="20" spans="2:6" ht="12.75">
      <c r="B20" s="827">
        <v>2007</v>
      </c>
      <c r="C20" s="1424">
        <v>3965.6038100000005</v>
      </c>
      <c r="D20" s="272"/>
      <c r="E20" s="200"/>
      <c r="F20" s="15"/>
    </row>
    <row r="21" spans="2:6" ht="12.75">
      <c r="B21" s="828">
        <v>2008</v>
      </c>
      <c r="C21" s="1426">
        <v>4198.65897</v>
      </c>
      <c r="D21" s="272"/>
      <c r="E21" s="200"/>
      <c r="F21" s="15"/>
    </row>
    <row r="22" spans="2:6" ht="12.75">
      <c r="B22" s="830">
        <v>2009</v>
      </c>
      <c r="C22" s="1424">
        <v>4322.374830000001</v>
      </c>
      <c r="D22" s="272"/>
      <c r="E22" s="200"/>
      <c r="F22" s="15"/>
    </row>
    <row r="23" spans="2:6" ht="12.75">
      <c r="B23" s="831">
        <v>2010</v>
      </c>
      <c r="C23" s="1426">
        <v>4578.94312</v>
      </c>
      <c r="D23" s="272"/>
      <c r="E23" s="200"/>
      <c r="F23" s="15"/>
    </row>
    <row r="24" spans="2:6" ht="12.75">
      <c r="B24" s="829" t="s">
        <v>181</v>
      </c>
      <c r="C24" s="1424">
        <v>4961.19299</v>
      </c>
      <c r="D24" s="272"/>
      <c r="E24" s="200"/>
      <c r="F24" s="15"/>
    </row>
    <row r="25" spans="2:7" ht="13.5" thickBot="1">
      <c r="B25" s="797"/>
      <c r="C25" s="1428"/>
      <c r="D25" s="277"/>
      <c r="E25" s="1429"/>
      <c r="F25" s="1429"/>
      <c r="G25" s="1429"/>
    </row>
    <row r="26" spans="2:7" ht="12.75">
      <c r="B26" s="798" t="s">
        <v>167</v>
      </c>
      <c r="C26" s="1430">
        <v>0.08347993412069288</v>
      </c>
      <c r="D26" s="278"/>
      <c r="E26" s="1429"/>
      <c r="F26" s="1429"/>
      <c r="G26" s="1429"/>
    </row>
    <row r="27" spans="2:7" ht="12.75">
      <c r="B27" s="799" t="s">
        <v>168</v>
      </c>
      <c r="C27" s="1431">
        <v>0.07004522962787951</v>
      </c>
      <c r="D27" s="278"/>
      <c r="E27" s="1432"/>
      <c r="F27" s="1432"/>
      <c r="G27" s="1432"/>
    </row>
    <row r="28" spans="2:3" ht="12.75">
      <c r="B28" s="800" t="s">
        <v>169</v>
      </c>
      <c r="C28" s="1430">
        <v>0.8930793261342389</v>
      </c>
    </row>
    <row r="29" spans="2:3" ht="13.5" thickBot="1">
      <c r="B29" s="801" t="s">
        <v>170</v>
      </c>
      <c r="C29" s="1433">
        <v>0.05973472358034981</v>
      </c>
    </row>
    <row r="30" ht="12.75">
      <c r="B30" s="25" t="s">
        <v>87</v>
      </c>
    </row>
    <row r="33" ht="12.75">
      <c r="B33" t="s">
        <v>182</v>
      </c>
    </row>
    <row r="34" ht="12.75">
      <c r="B34" t="s">
        <v>178</v>
      </c>
    </row>
  </sheetData>
  <sheetProtection password="B728" sheet="1"/>
  <printOptions/>
  <pageMargins left="0.75" right="0.75" top="1.25" bottom="1" header="0.06" footer="0"/>
  <pageSetup horizontalDpi="300" verticalDpi="3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Y88"/>
  <sheetViews>
    <sheetView view="pageBreakPreview" zoomScaleNormal="85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4.421875" style="0" customWidth="1"/>
    <col min="2" max="2" width="22.140625" style="0" customWidth="1"/>
    <col min="3" max="3" width="10.57421875" style="0" customWidth="1"/>
    <col min="4" max="4" width="9.7109375" style="0" customWidth="1"/>
    <col min="5" max="5" width="9.57421875" style="0" customWidth="1"/>
    <col min="6" max="6" width="6.28125" style="0" customWidth="1"/>
    <col min="7" max="7" width="9.28125" style="0" customWidth="1"/>
    <col min="8" max="8" width="10.8515625" style="0" customWidth="1"/>
    <col min="9" max="9" width="9.28125" style="0" customWidth="1"/>
    <col min="10" max="10" width="6.421875" style="0" customWidth="1"/>
    <col min="11" max="11" width="8.140625" style="0" customWidth="1"/>
    <col min="12" max="12" width="9.57421875" style="0" customWidth="1"/>
    <col min="13" max="13" width="8.8515625" style="0" customWidth="1"/>
    <col min="16" max="16" width="13.7109375" style="0" bestFit="1" customWidth="1"/>
    <col min="17" max="17" width="14.28125" style="0" bestFit="1" customWidth="1"/>
    <col min="18" max="18" width="13.7109375" style="0" bestFit="1" customWidth="1"/>
  </cols>
  <sheetData>
    <row r="2" ht="20.25">
      <c r="A2" s="279" t="s">
        <v>88</v>
      </c>
    </row>
    <row r="3" ht="15" customHeight="1">
      <c r="B3" s="279"/>
    </row>
    <row r="4" ht="15" customHeight="1"/>
    <row r="5" spans="2:23" ht="15" customHeight="1">
      <c r="B5" s="10" t="s">
        <v>89</v>
      </c>
      <c r="C5" s="103"/>
      <c r="D5" s="103"/>
      <c r="E5" s="103"/>
      <c r="F5" s="103"/>
      <c r="G5" s="103"/>
      <c r="H5" s="103"/>
      <c r="I5" s="104"/>
      <c r="J5" s="104"/>
      <c r="K5" s="104"/>
      <c r="L5" s="104"/>
      <c r="M5" s="104"/>
      <c r="S5" s="24"/>
      <c r="T5" s="24"/>
      <c r="U5" s="24"/>
      <c r="V5" s="24"/>
      <c r="W5" s="24"/>
    </row>
    <row r="6" spans="19:23" ht="13.5" thickBot="1">
      <c r="S6" s="24"/>
      <c r="T6" s="24"/>
      <c r="U6" s="24"/>
      <c r="V6" s="24"/>
      <c r="W6" s="24"/>
    </row>
    <row r="7" spans="2:23" ht="11.25" customHeight="1">
      <c r="B7" s="280"/>
      <c r="C7" s="280"/>
      <c r="D7" s="281" t="s">
        <v>56</v>
      </c>
      <c r="E7" s="282"/>
      <c r="F7" s="283"/>
      <c r="G7" s="282" t="s">
        <v>62</v>
      </c>
      <c r="H7" s="282"/>
      <c r="I7" s="284"/>
      <c r="J7" s="285"/>
      <c r="K7" s="282" t="s">
        <v>63</v>
      </c>
      <c r="L7" s="284"/>
      <c r="M7" s="286"/>
      <c r="S7" s="24"/>
      <c r="T7" s="24"/>
      <c r="U7" s="24"/>
      <c r="V7" s="24"/>
      <c r="W7" s="24"/>
    </row>
    <row r="8" spans="2:23" ht="15" customHeight="1" thickBot="1">
      <c r="B8" s="287" t="s">
        <v>47</v>
      </c>
      <c r="C8" s="287" t="s">
        <v>55</v>
      </c>
      <c r="D8" s="288" t="s">
        <v>65</v>
      </c>
      <c r="E8" s="289" t="s">
        <v>66</v>
      </c>
      <c r="F8" s="290" t="s">
        <v>67</v>
      </c>
      <c r="G8" s="290" t="s">
        <v>55</v>
      </c>
      <c r="H8" s="289" t="s">
        <v>65</v>
      </c>
      <c r="I8" s="289" t="s">
        <v>66</v>
      </c>
      <c r="J8" s="289" t="s">
        <v>67</v>
      </c>
      <c r="K8" s="291" t="s">
        <v>55</v>
      </c>
      <c r="L8" s="292" t="s">
        <v>65</v>
      </c>
      <c r="M8" s="293" t="s">
        <v>66</v>
      </c>
      <c r="S8" s="24"/>
      <c r="T8" s="24"/>
      <c r="U8" s="24"/>
      <c r="V8" s="24"/>
      <c r="W8" s="24"/>
    </row>
    <row r="9" spans="2:23" ht="12.75">
      <c r="B9" s="832">
        <v>1995</v>
      </c>
      <c r="C9" s="294">
        <v>16880.114601</v>
      </c>
      <c r="D9" s="295">
        <v>12937.553461</v>
      </c>
      <c r="E9" s="296">
        <v>3942.5611400000003</v>
      </c>
      <c r="F9" s="297" t="s">
        <v>90</v>
      </c>
      <c r="G9" s="298">
        <v>13106.313096999998</v>
      </c>
      <c r="H9" s="132">
        <v>11540.590328999999</v>
      </c>
      <c r="I9" s="132">
        <v>1565.722768</v>
      </c>
      <c r="J9" s="133" t="s">
        <v>91</v>
      </c>
      <c r="K9" s="134">
        <v>3773.801504</v>
      </c>
      <c r="L9" s="132">
        <v>1396.9631319999999</v>
      </c>
      <c r="M9" s="136">
        <v>2376.838372</v>
      </c>
      <c r="S9" s="24"/>
      <c r="T9" s="1400"/>
      <c r="U9" s="1400"/>
      <c r="V9" s="1400"/>
      <c r="W9" s="24"/>
    </row>
    <row r="10" spans="2:23" ht="12.75">
      <c r="B10" s="833">
        <v>1996</v>
      </c>
      <c r="C10" s="299">
        <v>17279.812293</v>
      </c>
      <c r="D10" s="300">
        <v>13323.572078</v>
      </c>
      <c r="E10" s="301">
        <v>3955.8302150000004</v>
      </c>
      <c r="F10" s="302">
        <v>0.41</v>
      </c>
      <c r="G10" s="303">
        <v>13307.577021</v>
      </c>
      <c r="H10" s="304">
        <v>11847.925377</v>
      </c>
      <c r="I10" s="304">
        <v>1459.2416440000002</v>
      </c>
      <c r="J10" s="305">
        <v>0.41</v>
      </c>
      <c r="K10" s="306">
        <v>3972.2352720000004</v>
      </c>
      <c r="L10" s="304">
        <v>1475.6467010000001</v>
      </c>
      <c r="M10" s="307">
        <v>2496.5885710000002</v>
      </c>
      <c r="S10" s="24"/>
      <c r="T10" s="278"/>
      <c r="U10" s="313"/>
      <c r="V10" s="1401"/>
      <c r="W10" s="24"/>
    </row>
    <row r="11" spans="2:23" ht="12.75">
      <c r="B11" s="832">
        <v>1997</v>
      </c>
      <c r="C11" s="308">
        <v>17953.407575</v>
      </c>
      <c r="D11" s="295">
        <v>13214.529482000002</v>
      </c>
      <c r="E11" s="296">
        <v>4738.322437000001</v>
      </c>
      <c r="F11" s="309">
        <v>0.5556559999999999</v>
      </c>
      <c r="G11" s="310">
        <v>15348.556876000002</v>
      </c>
      <c r="H11" s="132">
        <v>12264.791790000001</v>
      </c>
      <c r="I11" s="132">
        <v>3083.209430000001</v>
      </c>
      <c r="J11" s="311">
        <v>0.5556559999999999</v>
      </c>
      <c r="K11" s="131">
        <v>2604.8506989999996</v>
      </c>
      <c r="L11" s="132">
        <v>949.7376919999999</v>
      </c>
      <c r="M11" s="136">
        <v>1655.113007</v>
      </c>
      <c r="S11" s="24"/>
      <c r="T11" s="278"/>
      <c r="U11" s="313"/>
      <c r="V11" s="1401"/>
      <c r="W11" s="24"/>
    </row>
    <row r="12" spans="2:23" ht="12.75">
      <c r="B12" s="833">
        <v>1998</v>
      </c>
      <c r="C12" s="312">
        <v>18582.538846000003</v>
      </c>
      <c r="D12" s="300">
        <v>13808.285138000003</v>
      </c>
      <c r="E12" s="301">
        <v>4773.727268000001</v>
      </c>
      <c r="F12" s="302">
        <v>0.52644</v>
      </c>
      <c r="G12" s="303">
        <v>16815.936847000004</v>
      </c>
      <c r="H12" s="304">
        <v>13367.193777000002</v>
      </c>
      <c r="I12" s="304">
        <v>3448.21663</v>
      </c>
      <c r="J12" s="305">
        <v>0.52644</v>
      </c>
      <c r="K12" s="306">
        <v>1766.6019990000002</v>
      </c>
      <c r="L12" s="304">
        <v>441.091361</v>
      </c>
      <c r="M12" s="307">
        <v>1325.5106380000002</v>
      </c>
      <c r="S12" s="24"/>
      <c r="T12" s="278"/>
      <c r="U12" s="313"/>
      <c r="V12" s="1401"/>
      <c r="W12" s="24"/>
    </row>
    <row r="13" spans="2:23" ht="12.75">
      <c r="B13" s="832">
        <v>1999</v>
      </c>
      <c r="C13" s="294">
        <v>19049.617396999998</v>
      </c>
      <c r="D13" s="295">
        <v>14540.581285</v>
      </c>
      <c r="E13" s="296">
        <v>4508.411532</v>
      </c>
      <c r="F13" s="309">
        <v>0.62458</v>
      </c>
      <c r="G13" s="298">
        <v>17366.221878</v>
      </c>
      <c r="H13" s="132">
        <v>14110.592026</v>
      </c>
      <c r="I13" s="132">
        <v>3255.005272</v>
      </c>
      <c r="J13" s="146">
        <v>0.62458</v>
      </c>
      <c r="K13" s="134">
        <v>1683.3955190000001</v>
      </c>
      <c r="L13" s="132">
        <v>429.98925900000006</v>
      </c>
      <c r="M13" s="136">
        <v>1253.40626</v>
      </c>
      <c r="S13" s="24"/>
      <c r="T13" s="278"/>
      <c r="U13" s="313"/>
      <c r="V13" s="1401"/>
      <c r="W13" s="24"/>
    </row>
    <row r="14" spans="2:23" ht="12.75">
      <c r="B14" s="833">
        <v>2000</v>
      </c>
      <c r="C14" s="312">
        <v>19922.697338</v>
      </c>
      <c r="D14" s="300">
        <v>16176.051366</v>
      </c>
      <c r="E14" s="301">
        <v>3745.8002719999995</v>
      </c>
      <c r="F14" s="302">
        <v>0.8457</v>
      </c>
      <c r="G14" s="303">
        <v>18327.897719</v>
      </c>
      <c r="H14" s="304">
        <v>15747.323264999999</v>
      </c>
      <c r="I14" s="304">
        <v>2579.7287539999998</v>
      </c>
      <c r="J14" s="305">
        <v>0.8457</v>
      </c>
      <c r="K14" s="306">
        <v>1594.7996189999994</v>
      </c>
      <c r="L14" s="304">
        <v>428.728101</v>
      </c>
      <c r="M14" s="307">
        <v>1166.0715179999995</v>
      </c>
      <c r="S14" s="24"/>
      <c r="T14" s="278"/>
      <c r="U14" s="313"/>
      <c r="V14" s="1401"/>
      <c r="W14" s="24"/>
    </row>
    <row r="15" spans="2:23" ht="12.75">
      <c r="B15" s="832">
        <v>2001</v>
      </c>
      <c r="C15" s="308">
        <v>20785.725534999998</v>
      </c>
      <c r="D15" s="295">
        <v>17614.760199999997</v>
      </c>
      <c r="E15" s="296">
        <v>3169.738935</v>
      </c>
      <c r="F15" s="309">
        <v>1.2264000000000002</v>
      </c>
      <c r="G15" s="298">
        <v>19214.506641999997</v>
      </c>
      <c r="H15" s="132">
        <v>17188.330774</v>
      </c>
      <c r="I15" s="132">
        <v>2024.9494680000003</v>
      </c>
      <c r="J15" s="146">
        <v>1.2264000000000002</v>
      </c>
      <c r="K15" s="134">
        <v>1571.2188929999998</v>
      </c>
      <c r="L15" s="132">
        <v>426.42942600000003</v>
      </c>
      <c r="M15" s="136">
        <v>1144.7894669999996</v>
      </c>
      <c r="S15" s="24"/>
      <c r="T15" s="278"/>
      <c r="U15" s="313"/>
      <c r="V15" s="1401"/>
      <c r="W15" s="24"/>
    </row>
    <row r="16" spans="2:23" ht="12.75">
      <c r="B16" s="834">
        <v>2002</v>
      </c>
      <c r="C16" s="299">
        <v>21982.323172000008</v>
      </c>
      <c r="D16" s="300">
        <v>18040.127915000005</v>
      </c>
      <c r="E16" s="301">
        <v>3940.9688570000035</v>
      </c>
      <c r="F16" s="302">
        <v>1.2264000000000002</v>
      </c>
      <c r="G16" s="303">
        <v>20419.508673000004</v>
      </c>
      <c r="H16" s="304">
        <v>17638.158238000004</v>
      </c>
      <c r="I16" s="304">
        <v>2780.1240350000003</v>
      </c>
      <c r="J16" s="305">
        <v>1.2264000000000002</v>
      </c>
      <c r="K16" s="306">
        <v>1562.8144990000035</v>
      </c>
      <c r="L16" s="304">
        <v>401.9696770000001</v>
      </c>
      <c r="M16" s="307">
        <v>1160.8448220000034</v>
      </c>
      <c r="S16" s="24"/>
      <c r="T16" s="24"/>
      <c r="U16" s="24"/>
      <c r="V16" s="24"/>
      <c r="W16" s="24"/>
    </row>
    <row r="17" spans="2:23" ht="12.75">
      <c r="B17" s="129">
        <v>2003</v>
      </c>
      <c r="C17" s="308">
        <v>22923.353873999997</v>
      </c>
      <c r="D17" s="295">
        <v>18533.720860999994</v>
      </c>
      <c r="E17" s="296">
        <v>4388.406613000003</v>
      </c>
      <c r="F17" s="315">
        <v>1.2264000000000002</v>
      </c>
      <c r="G17" s="310">
        <v>21361.462929999994</v>
      </c>
      <c r="H17" s="144">
        <v>18118.333137999995</v>
      </c>
      <c r="I17" s="144">
        <v>3241.9033919999997</v>
      </c>
      <c r="J17" s="146">
        <v>1.2264000000000002</v>
      </c>
      <c r="K17" s="134">
        <v>1561.8909440000034</v>
      </c>
      <c r="L17" s="132">
        <v>415.38772300000005</v>
      </c>
      <c r="M17" s="136">
        <v>1146.5032210000034</v>
      </c>
      <c r="S17" s="24"/>
      <c r="T17" s="278"/>
      <c r="U17" s="313"/>
      <c r="V17" s="1401"/>
      <c r="W17" s="24"/>
    </row>
    <row r="18" spans="2:23" ht="12.75">
      <c r="B18" s="834">
        <v>2004</v>
      </c>
      <c r="C18" s="299">
        <v>24267.012071000005</v>
      </c>
      <c r="D18" s="300">
        <v>17525.338961000005</v>
      </c>
      <c r="E18" s="301">
        <v>6740.446710000001</v>
      </c>
      <c r="F18" s="316">
        <v>1.2264000000000002</v>
      </c>
      <c r="G18" s="317">
        <v>22619.938791000004</v>
      </c>
      <c r="H18" s="318">
        <v>17100.664633000004</v>
      </c>
      <c r="I18" s="318">
        <v>5518.047758000001</v>
      </c>
      <c r="J18" s="305">
        <v>1.2264000000000002</v>
      </c>
      <c r="K18" s="306">
        <v>1647.0732800000003</v>
      </c>
      <c r="L18" s="304">
        <v>424.674328</v>
      </c>
      <c r="M18" s="307">
        <v>1222.3989520000002</v>
      </c>
      <c r="S18" s="24"/>
      <c r="T18" s="278"/>
      <c r="U18" s="313"/>
      <c r="V18" s="1401"/>
      <c r="W18" s="24"/>
    </row>
    <row r="19" spans="2:22" ht="12.75">
      <c r="B19" s="129">
        <v>2005</v>
      </c>
      <c r="C19" s="308">
        <v>25509.736815000004</v>
      </c>
      <c r="D19" s="295">
        <v>17976.993336</v>
      </c>
      <c r="E19" s="296">
        <v>7531.517079000003</v>
      </c>
      <c r="F19" s="315">
        <v>1.2264000000000002</v>
      </c>
      <c r="G19" s="310">
        <v>23810.874944792748</v>
      </c>
      <c r="H19" s="144">
        <v>17567.10537779275</v>
      </c>
      <c r="I19" s="144">
        <v>6242.543167</v>
      </c>
      <c r="J19" s="146">
        <v>1.2264000000000002</v>
      </c>
      <c r="K19" s="134">
        <v>1698.861870207253</v>
      </c>
      <c r="L19" s="132">
        <v>409.88795820724977</v>
      </c>
      <c r="M19" s="136">
        <v>1288.9739120000033</v>
      </c>
      <c r="T19" s="278"/>
      <c r="U19" s="313"/>
      <c r="V19" s="1401"/>
    </row>
    <row r="20" spans="2:22" ht="12.75">
      <c r="B20" s="834">
        <v>2006</v>
      </c>
      <c r="C20" s="299">
        <v>27369.828727579996</v>
      </c>
      <c r="D20" s="300">
        <v>19594.347163999995</v>
      </c>
      <c r="E20" s="301">
        <v>7774.255163580001</v>
      </c>
      <c r="F20" s="316">
        <v>1.2264000000000002</v>
      </c>
      <c r="G20" s="317">
        <v>25613.763789958582</v>
      </c>
      <c r="H20" s="318">
        <v>19160.75164295858</v>
      </c>
      <c r="I20" s="318">
        <v>6451.785747000001</v>
      </c>
      <c r="J20" s="305">
        <v>1.2264000000000002</v>
      </c>
      <c r="K20" s="306">
        <v>1756.064937621414</v>
      </c>
      <c r="L20" s="304">
        <v>433.59552104141386</v>
      </c>
      <c r="M20" s="307">
        <v>1322.4694165800001</v>
      </c>
      <c r="T20" s="278"/>
      <c r="U20" s="313"/>
      <c r="V20" s="1401"/>
    </row>
    <row r="21" spans="2:22" ht="12.75">
      <c r="B21" s="835">
        <v>2007</v>
      </c>
      <c r="C21" s="308">
        <v>29943.047142000003</v>
      </c>
      <c r="D21" s="295">
        <v>19548.782020000002</v>
      </c>
      <c r="E21" s="296">
        <v>10393.038722000001</v>
      </c>
      <c r="F21" s="315">
        <v>1.2264000000000002</v>
      </c>
      <c r="G21" s="310">
        <v>28200.49109034</v>
      </c>
      <c r="H21" s="144">
        <v>19107.19396634</v>
      </c>
      <c r="I21" s="144">
        <v>9092.070724000001</v>
      </c>
      <c r="J21" s="146">
        <v>1.2264000000000002</v>
      </c>
      <c r="K21" s="134">
        <v>1742.5560516600003</v>
      </c>
      <c r="L21" s="132">
        <v>441.58805366</v>
      </c>
      <c r="M21" s="136">
        <v>1300.9679980000003</v>
      </c>
      <c r="T21" s="278"/>
      <c r="U21" s="313"/>
      <c r="V21" s="1401"/>
    </row>
    <row r="22" spans="2:22" ht="12.75">
      <c r="B22" s="836">
        <v>2008</v>
      </c>
      <c r="C22" s="312">
        <v>32463.106282999997</v>
      </c>
      <c r="D22" s="300">
        <v>19059.617748999997</v>
      </c>
      <c r="E22" s="300">
        <v>13402.262134</v>
      </c>
      <c r="F22" s="316">
        <v>1.2264000000000004</v>
      </c>
      <c r="G22" s="317">
        <v>30574.711256</v>
      </c>
      <c r="H22" s="318">
        <v>18607.792106999997</v>
      </c>
      <c r="I22" s="318">
        <v>11965.692749000002</v>
      </c>
      <c r="J22" s="305">
        <v>1.2264000000000004</v>
      </c>
      <c r="K22" s="306">
        <v>1888.3950269999998</v>
      </c>
      <c r="L22" s="304">
        <v>451.825642</v>
      </c>
      <c r="M22" s="307">
        <v>1436.5693849999998</v>
      </c>
      <c r="T22" s="278"/>
      <c r="U22" s="313"/>
      <c r="V22" s="1401"/>
    </row>
    <row r="23" spans="2:22" ht="12.75">
      <c r="B23" s="837">
        <v>2009</v>
      </c>
      <c r="C23" s="321">
        <v>32944.735820999995</v>
      </c>
      <c r="D23" s="322">
        <v>19903.776404</v>
      </c>
      <c r="E23" s="322">
        <v>13039.733016999999</v>
      </c>
      <c r="F23" s="323">
        <v>1.2264000000000002</v>
      </c>
      <c r="G23" s="324">
        <v>30921.902782999998</v>
      </c>
      <c r="H23" s="226">
        <v>19419.221612</v>
      </c>
      <c r="I23" s="226">
        <v>11501.454770999999</v>
      </c>
      <c r="J23" s="224">
        <v>1.2264000000000002</v>
      </c>
      <c r="K23" s="208">
        <v>2022.8330380000002</v>
      </c>
      <c r="L23" s="227">
        <v>484.5547920000001</v>
      </c>
      <c r="M23" s="228">
        <v>1538.278246</v>
      </c>
      <c r="T23" s="278"/>
      <c r="U23" s="313"/>
      <c r="V23" s="1401"/>
    </row>
    <row r="24" spans="2:23" ht="12.75">
      <c r="B24" s="836">
        <v>2010</v>
      </c>
      <c r="C24" s="312">
        <v>35908.0079412</v>
      </c>
      <c r="D24" s="300">
        <v>20052.1292802</v>
      </c>
      <c r="E24" s="300">
        <v>15854.652261</v>
      </c>
      <c r="F24" s="316">
        <v>1.2264000000000002</v>
      </c>
      <c r="G24" s="317">
        <v>33545.81580719999</v>
      </c>
      <c r="H24" s="318">
        <v>19567.4046092</v>
      </c>
      <c r="I24" s="318">
        <v>13977.184797999998</v>
      </c>
      <c r="J24" s="305">
        <v>1.2264000000000002</v>
      </c>
      <c r="K24" s="306">
        <v>2362.192134</v>
      </c>
      <c r="L24" s="304">
        <v>484.72467099999994</v>
      </c>
      <c r="M24" s="307">
        <v>1877.467463</v>
      </c>
      <c r="P24" s="24"/>
      <c r="Q24" s="24"/>
      <c r="R24" s="24"/>
      <c r="S24" s="24"/>
      <c r="T24" s="278"/>
      <c r="U24" s="313"/>
      <c r="V24" s="1401"/>
      <c r="W24" s="24"/>
    </row>
    <row r="25" spans="2:23" ht="12.75">
      <c r="B25" s="835" t="s">
        <v>179</v>
      </c>
      <c r="C25" s="321">
        <v>38697.48515245998</v>
      </c>
      <c r="D25" s="322">
        <v>21543.013831733555</v>
      </c>
      <c r="E25" s="322">
        <v>17153.24492072643</v>
      </c>
      <c r="F25" s="323">
        <v>1.2264000000000002</v>
      </c>
      <c r="G25" s="324">
        <v>36243.19204565196</v>
      </c>
      <c r="H25" s="226">
        <v>21022.447559483557</v>
      </c>
      <c r="I25" s="227">
        <v>15219.5180861684</v>
      </c>
      <c r="J25" s="224">
        <v>1.2264000000000002</v>
      </c>
      <c r="K25" s="208">
        <v>2454.29310680803</v>
      </c>
      <c r="L25" s="227">
        <v>520.56627225</v>
      </c>
      <c r="M25" s="228">
        <v>1933.72683455803</v>
      </c>
      <c r="P25" s="24"/>
      <c r="Q25" s="24"/>
      <c r="R25" s="24"/>
      <c r="S25" s="24"/>
      <c r="T25" s="278"/>
      <c r="U25" s="313"/>
      <c r="V25" s="1401"/>
      <c r="W25" s="24"/>
    </row>
    <row r="26" spans="2:25" ht="13.5" thickBot="1">
      <c r="B26" s="804"/>
      <c r="C26" s="805"/>
      <c r="D26" s="806"/>
      <c r="E26" s="806"/>
      <c r="F26" s="807"/>
      <c r="G26" s="808"/>
      <c r="H26" s="809"/>
      <c r="I26" s="810"/>
      <c r="J26" s="811"/>
      <c r="K26" s="812"/>
      <c r="L26" s="810"/>
      <c r="M26" s="813"/>
      <c r="N26" s="15"/>
      <c r="O26" s="15"/>
      <c r="P26" s="200"/>
      <c r="Q26" s="200"/>
      <c r="R26" s="200"/>
      <c r="S26" s="200"/>
      <c r="T26" s="757"/>
      <c r="U26" s="815"/>
      <c r="V26" s="1402"/>
      <c r="W26" s="200"/>
      <c r="X26" s="15"/>
      <c r="Y26" s="15"/>
    </row>
    <row r="27" spans="2:25" ht="12.75" customHeight="1">
      <c r="B27" s="150" t="s">
        <v>167</v>
      </c>
      <c r="C27" s="1403">
        <v>0.07768398669811472</v>
      </c>
      <c r="D27" s="1404">
        <v>0.074350435841529</v>
      </c>
      <c r="E27" s="1405">
        <v>0.0819060953434323</v>
      </c>
      <c r="F27" s="151"/>
      <c r="G27" s="1363">
        <v>0.08040872381684694</v>
      </c>
      <c r="H27" s="1405">
        <v>0.07436054905306344</v>
      </c>
      <c r="I27" s="1406">
        <v>0.08888294074398795</v>
      </c>
      <c r="J27" s="151"/>
      <c r="K27" s="1363">
        <v>0.03898961963439951</v>
      </c>
      <c r="L27" s="1405">
        <v>0.07394218490273641</v>
      </c>
      <c r="M27" s="1407">
        <v>0.02996556407328277</v>
      </c>
      <c r="N27" s="816"/>
      <c r="O27" s="816"/>
      <c r="P27" s="494"/>
      <c r="Q27" s="1408"/>
      <c r="R27" s="1408"/>
      <c r="S27" s="494"/>
      <c r="T27" s="817"/>
      <c r="U27" s="818"/>
      <c r="V27" s="1409"/>
      <c r="W27" s="494"/>
      <c r="X27" s="816"/>
      <c r="Y27" s="816"/>
    </row>
    <row r="28" spans="2:23" ht="12.75" customHeight="1">
      <c r="B28" s="325" t="s">
        <v>171</v>
      </c>
      <c r="C28" s="1410">
        <v>0.07172196701784905</v>
      </c>
      <c r="D28" s="1411">
        <v>0.01914301527372375</v>
      </c>
      <c r="E28" s="1411">
        <v>0.1714870701114135</v>
      </c>
      <c r="F28" s="154"/>
      <c r="G28" s="1373">
        <v>0.07189095950474145</v>
      </c>
      <c r="H28" s="1411">
        <v>0.018718392506213766</v>
      </c>
      <c r="I28" s="1412">
        <v>0.1872555074310449</v>
      </c>
      <c r="J28" s="152"/>
      <c r="K28" s="1373">
        <v>0.06924485991537188</v>
      </c>
      <c r="L28" s="1411">
        <v>0.037237590961387124</v>
      </c>
      <c r="M28" s="1412">
        <v>0.07895143592582987</v>
      </c>
      <c r="P28" s="24"/>
      <c r="Q28" s="24"/>
      <c r="R28" s="24"/>
      <c r="S28" s="24"/>
      <c r="T28" s="24"/>
      <c r="U28" s="24"/>
      <c r="V28" s="24"/>
      <c r="W28" s="24"/>
    </row>
    <row r="29" spans="2:23" ht="12.75" customHeight="1">
      <c r="B29" s="155" t="s">
        <v>169</v>
      </c>
      <c r="C29" s="1413">
        <v>0.9423818218956459</v>
      </c>
      <c r="D29" s="1414">
        <v>0.33178445989694527</v>
      </c>
      <c r="E29" s="1414">
        <v>3.579327159792152</v>
      </c>
      <c r="F29" s="154"/>
      <c r="G29" s="1415">
        <v>0.9774876857851347</v>
      </c>
      <c r="H29" s="1414">
        <v>0.3349854578909959</v>
      </c>
      <c r="I29" s="1416">
        <v>4.899658273207898</v>
      </c>
      <c r="J29" s="152"/>
      <c r="K29" s="1415">
        <v>0.5389350972800997</v>
      </c>
      <c r="L29" s="1414">
        <v>0.21421075743761442</v>
      </c>
      <c r="M29" s="1417">
        <v>0.6583261015367934</v>
      </c>
      <c r="P29" s="24"/>
      <c r="Q29" s="24"/>
      <c r="R29" s="24"/>
      <c r="S29" s="24"/>
      <c r="T29" s="24"/>
      <c r="U29" s="24"/>
      <c r="V29" s="24"/>
      <c r="W29" s="24"/>
    </row>
    <row r="30" spans="2:23" ht="12.75" customHeight="1" thickBot="1">
      <c r="B30" s="814" t="s">
        <v>170</v>
      </c>
      <c r="C30" s="1418">
        <v>0.06221452753761425</v>
      </c>
      <c r="D30" s="1419">
        <v>0.026389443494648557</v>
      </c>
      <c r="E30" s="1419">
        <v>0.14834631011815858</v>
      </c>
      <c r="F30" s="152"/>
      <c r="G30" s="1420">
        <v>0.06394563034722167</v>
      </c>
      <c r="H30" s="1419">
        <v>0.026613468729685952</v>
      </c>
      <c r="I30" s="1421">
        <v>0.1751009267807595</v>
      </c>
      <c r="J30" s="152"/>
      <c r="K30" s="1420">
        <v>0.03996812328531307</v>
      </c>
      <c r="L30" s="1419">
        <v>0.017801526374344068</v>
      </c>
      <c r="M30" s="1421">
        <v>0.04705620354312656</v>
      </c>
      <c r="P30" s="24"/>
      <c r="Q30" s="1422"/>
      <c r="R30" s="1422"/>
      <c r="S30" s="24"/>
      <c r="T30" s="24"/>
      <c r="U30" s="24"/>
      <c r="V30" s="24"/>
      <c r="W30" s="24"/>
    </row>
    <row r="31" spans="2:23" ht="12.75">
      <c r="B31" t="s">
        <v>178</v>
      </c>
      <c r="C31" s="1303"/>
      <c r="P31" s="24"/>
      <c r="Q31" s="1422"/>
      <c r="R31" s="1422"/>
      <c r="S31" s="24"/>
      <c r="T31" s="24"/>
      <c r="U31" s="24"/>
      <c r="V31" s="24"/>
      <c r="W31" s="24"/>
    </row>
    <row r="32" spans="16:23" ht="12.75">
      <c r="P32" s="24"/>
      <c r="Q32" s="1422"/>
      <c r="R32" s="1422"/>
      <c r="S32" s="24"/>
      <c r="T32" s="24"/>
      <c r="U32" s="24"/>
      <c r="V32" s="24"/>
      <c r="W32" s="24"/>
    </row>
    <row r="33" spans="2:23" ht="12.75">
      <c r="B33" s="29"/>
      <c r="P33" s="24"/>
      <c r="Q33" s="1422"/>
      <c r="R33" s="1422"/>
      <c r="S33" s="24"/>
      <c r="T33" s="24"/>
      <c r="U33" s="24"/>
      <c r="V33" s="24"/>
      <c r="W33" s="24"/>
    </row>
    <row r="34" spans="16:23" ht="12.75">
      <c r="P34" s="24"/>
      <c r="Q34" s="1422"/>
      <c r="R34" s="1422"/>
      <c r="S34" s="24"/>
      <c r="T34" s="24"/>
      <c r="U34" s="24"/>
      <c r="V34" s="24"/>
      <c r="W34" s="24"/>
    </row>
    <row r="35" spans="16:23" ht="12.75">
      <c r="P35" s="24"/>
      <c r="Q35" s="1422"/>
      <c r="R35" s="1422"/>
      <c r="S35" s="24"/>
      <c r="T35" s="24"/>
      <c r="U35" s="24"/>
      <c r="V35" s="24"/>
      <c r="W35" s="24"/>
    </row>
    <row r="36" spans="16:23" ht="12.75">
      <c r="P36" s="24"/>
      <c r="Q36" s="1422"/>
      <c r="R36" s="1422"/>
      <c r="S36" s="24"/>
      <c r="T36" s="24"/>
      <c r="U36" s="24"/>
      <c r="V36" s="24"/>
      <c r="W36" s="24"/>
    </row>
    <row r="37" spans="16:23" ht="12.75">
      <c r="P37" s="24"/>
      <c r="Q37" s="1422"/>
      <c r="R37" s="1422"/>
      <c r="S37" s="24"/>
      <c r="T37" s="24"/>
      <c r="U37" s="24"/>
      <c r="V37" s="24"/>
      <c r="W37" s="24"/>
    </row>
    <row r="38" spans="16:23" ht="12.75">
      <c r="P38" s="24"/>
      <c r="Q38" s="1422"/>
      <c r="R38" s="1422"/>
      <c r="S38" s="24"/>
      <c r="T38" s="24"/>
      <c r="U38" s="24"/>
      <c r="V38" s="24"/>
      <c r="W38" s="24"/>
    </row>
    <row r="39" spans="16:23" ht="12.75">
      <c r="P39" s="24"/>
      <c r="Q39" s="1422"/>
      <c r="R39" s="1422"/>
      <c r="S39" s="24"/>
      <c r="T39" s="24"/>
      <c r="U39" s="24"/>
      <c r="V39" s="24"/>
      <c r="W39" s="24"/>
    </row>
    <row r="40" spans="16:23" ht="12.75">
      <c r="P40" s="24"/>
      <c r="Q40" s="1422"/>
      <c r="R40" s="1422"/>
      <c r="S40" s="24"/>
      <c r="T40" s="24"/>
      <c r="U40" s="24"/>
      <c r="V40" s="24"/>
      <c r="W40" s="24"/>
    </row>
    <row r="41" spans="16:23" ht="12.75">
      <c r="P41" s="24"/>
      <c r="Q41" s="1422"/>
      <c r="R41" s="1422"/>
      <c r="S41" s="24"/>
      <c r="T41" s="24"/>
      <c r="U41" s="24"/>
      <c r="V41" s="24"/>
      <c r="W41" s="24"/>
    </row>
    <row r="42" spans="16:23" ht="12.75">
      <c r="P42" s="1349"/>
      <c r="Q42" s="1422"/>
      <c r="R42" s="1422"/>
      <c r="S42" s="24"/>
      <c r="T42" s="1552"/>
      <c r="U42" s="1552"/>
      <c r="V42" s="1552"/>
      <c r="W42" s="1552"/>
    </row>
    <row r="43" spans="16:23" ht="12.75">
      <c r="P43" s="24"/>
      <c r="Q43" s="1422"/>
      <c r="R43" s="1422"/>
      <c r="S43" s="24"/>
      <c r="T43" s="24"/>
      <c r="U43" s="24"/>
      <c r="V43" s="24"/>
      <c r="W43" s="24"/>
    </row>
    <row r="44" spans="16:23" ht="12.75">
      <c r="P44" s="24"/>
      <c r="Q44" s="1422"/>
      <c r="R44" s="1422"/>
      <c r="S44" s="24"/>
      <c r="T44" s="24"/>
      <c r="U44" s="1256"/>
      <c r="V44" s="1256"/>
      <c r="W44" s="1256"/>
    </row>
    <row r="45" spans="16:23" ht="12.75">
      <c r="P45" s="24"/>
      <c r="Q45" s="1422"/>
      <c r="R45" s="1422"/>
      <c r="S45" s="24"/>
      <c r="T45" s="1400"/>
      <c r="U45" s="434"/>
      <c r="V45" s="434"/>
      <c r="W45" s="1423"/>
    </row>
    <row r="46" spans="16:23" ht="12.75">
      <c r="P46" s="24"/>
      <c r="Q46" s="1422"/>
      <c r="R46" s="1422"/>
      <c r="S46" s="24"/>
      <c r="T46" s="1400"/>
      <c r="U46" s="434"/>
      <c r="V46" s="434"/>
      <c r="W46" s="1423"/>
    </row>
    <row r="47" spans="16:23" ht="12.75">
      <c r="P47" s="24"/>
      <c r="Q47" s="24"/>
      <c r="R47" s="24"/>
      <c r="S47" s="24"/>
      <c r="T47" s="1400"/>
      <c r="U47" s="434"/>
      <c r="V47" s="434"/>
      <c r="W47" s="1423"/>
    </row>
    <row r="48" spans="16:23" ht="12.75">
      <c r="P48" s="24"/>
      <c r="Q48" s="24"/>
      <c r="R48" s="24"/>
      <c r="S48" s="24"/>
      <c r="T48" s="24"/>
      <c r="U48" s="24"/>
      <c r="V48" s="24"/>
      <c r="W48" s="24"/>
    </row>
    <row r="49" spans="16:23" ht="12.75">
      <c r="P49" s="24"/>
      <c r="Q49" s="24"/>
      <c r="R49" s="24"/>
      <c r="S49" s="24"/>
      <c r="T49" s="24"/>
      <c r="U49" s="24"/>
      <c r="V49" s="24"/>
      <c r="W49" s="24"/>
    </row>
    <row r="50" spans="16:23" ht="12.75">
      <c r="P50" s="24"/>
      <c r="Q50" s="1422"/>
      <c r="R50" s="1422"/>
      <c r="S50" s="24"/>
      <c r="T50" s="24"/>
      <c r="U50" s="24"/>
      <c r="V50" s="24"/>
      <c r="W50" s="24"/>
    </row>
    <row r="51" spans="16:23" ht="12.75">
      <c r="P51" s="24"/>
      <c r="Q51" s="1422"/>
      <c r="R51" s="1422"/>
      <c r="S51" s="24"/>
      <c r="T51" s="24"/>
      <c r="U51" s="24"/>
      <c r="V51" s="24"/>
      <c r="W51" s="24"/>
    </row>
    <row r="52" spans="16:23" ht="12.75">
      <c r="P52" s="24"/>
      <c r="Q52" s="1422"/>
      <c r="R52" s="1422"/>
      <c r="S52" s="24"/>
      <c r="T52" s="24"/>
      <c r="U52" s="24"/>
      <c r="V52" s="24"/>
      <c r="W52" s="24"/>
    </row>
    <row r="53" spans="16:23" ht="12.75">
      <c r="P53" s="24"/>
      <c r="Q53" s="1422"/>
      <c r="R53" s="1422"/>
      <c r="S53" s="24"/>
      <c r="T53" s="24"/>
      <c r="U53" s="24"/>
      <c r="V53" s="24"/>
      <c r="W53" s="24"/>
    </row>
    <row r="54" spans="17:18" ht="12.75">
      <c r="Q54" s="13"/>
      <c r="R54" s="13"/>
    </row>
    <row r="55" spans="17:18" ht="12.75">
      <c r="Q55" s="13"/>
      <c r="R55" s="13"/>
    </row>
    <row r="56" spans="17:18" ht="12.75">
      <c r="Q56" s="13"/>
      <c r="R56" s="13"/>
    </row>
    <row r="57" spans="17:18" ht="12.75">
      <c r="Q57" s="13"/>
      <c r="R57" s="13"/>
    </row>
    <row r="58" spans="17:18" ht="12.75">
      <c r="Q58" s="13"/>
      <c r="R58" s="13"/>
    </row>
    <row r="59" spans="17:18" ht="12.75">
      <c r="Q59" s="13"/>
      <c r="R59" s="13"/>
    </row>
    <row r="60" spans="17:18" ht="12.75">
      <c r="Q60" s="13"/>
      <c r="R60" s="13"/>
    </row>
    <row r="61" spans="17:18" ht="12.75">
      <c r="Q61" s="13"/>
      <c r="R61" s="13"/>
    </row>
    <row r="62" spans="16:18" ht="12.75">
      <c r="P62" s="95"/>
      <c r="Q62" s="13"/>
      <c r="R62" s="13"/>
    </row>
    <row r="63" spans="17:18" ht="12.75">
      <c r="Q63" s="13"/>
      <c r="R63" s="13"/>
    </row>
    <row r="64" spans="17:18" ht="12.75">
      <c r="Q64" s="13"/>
      <c r="R64" s="13"/>
    </row>
    <row r="65" spans="17:18" ht="12.75">
      <c r="Q65" s="13"/>
      <c r="R65" s="13"/>
    </row>
    <row r="66" spans="17:18" ht="12.75">
      <c r="Q66" s="13"/>
      <c r="R66" s="13"/>
    </row>
    <row r="72" spans="17:18" ht="12.75">
      <c r="Q72" s="13"/>
      <c r="R72" s="13"/>
    </row>
    <row r="73" spans="17:18" ht="12.75">
      <c r="Q73" s="13"/>
      <c r="R73" s="13"/>
    </row>
    <row r="74" spans="17:18" ht="12.75">
      <c r="Q74" s="13"/>
      <c r="R74" s="13"/>
    </row>
    <row r="75" spans="17:18" ht="12.75">
      <c r="Q75" s="13"/>
      <c r="R75" s="13"/>
    </row>
    <row r="76" spans="17:18" ht="12.75">
      <c r="Q76" s="13"/>
      <c r="R76" s="13"/>
    </row>
    <row r="77" spans="17:18" ht="12.75">
      <c r="Q77" s="13"/>
      <c r="R77" s="13"/>
    </row>
    <row r="78" spans="17:18" ht="12.75">
      <c r="Q78" s="13"/>
      <c r="R78" s="13"/>
    </row>
    <row r="79" spans="17:18" ht="12.75">
      <c r="Q79" s="13"/>
      <c r="R79" s="13"/>
    </row>
    <row r="80" spans="17:18" ht="12.75">
      <c r="Q80" s="13"/>
      <c r="R80" s="13"/>
    </row>
    <row r="81" spans="17:18" ht="12.75">
      <c r="Q81" s="13"/>
      <c r="R81" s="13"/>
    </row>
    <row r="82" spans="17:18" ht="12.75">
      <c r="Q82" s="13"/>
      <c r="R82" s="13"/>
    </row>
    <row r="83" spans="17:18" ht="12.75">
      <c r="Q83" s="13"/>
      <c r="R83" s="13"/>
    </row>
    <row r="84" spans="16:18" ht="12.75">
      <c r="P84" s="95"/>
      <c r="Q84" s="13"/>
      <c r="R84" s="13"/>
    </row>
    <row r="85" spans="17:18" ht="12.75">
      <c r="Q85" s="13"/>
      <c r="R85" s="13"/>
    </row>
    <row r="86" spans="17:18" ht="12.75">
      <c r="Q86" s="13"/>
      <c r="R86" s="13"/>
    </row>
    <row r="87" spans="17:18" ht="12.75">
      <c r="Q87" s="13"/>
      <c r="R87" s="13"/>
    </row>
    <row r="88" spans="17:18" ht="12.75">
      <c r="Q88" s="13"/>
      <c r="R88" s="13"/>
    </row>
  </sheetData>
  <sheetProtection password="B728" sheet="1"/>
  <mergeCells count="1">
    <mergeCell ref="T42:W42"/>
  </mergeCells>
  <printOptions horizontalCentered="1" verticalCentered="1"/>
  <pageMargins left="0.97" right="0.5905511811023623" top="1.29" bottom="1.46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</dc:creator>
  <cp:keywords/>
  <dc:description/>
  <cp:lastModifiedBy>dpaz</cp:lastModifiedBy>
  <cp:lastPrinted>2011-09-09T19:40:16Z</cp:lastPrinted>
  <dcterms:created xsi:type="dcterms:W3CDTF">2002-05-10T21:22:09Z</dcterms:created>
  <dcterms:modified xsi:type="dcterms:W3CDTF">2012-11-30T21:28:14Z</dcterms:modified>
  <cp:category/>
  <cp:version/>
  <cp:contentType/>
  <cp:contentStatus/>
</cp:coreProperties>
</file>